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harts/colors5.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colors24.xml" ContentType="application/vnd.ms-office.chartcolorstyle+xml"/>
  <Override PartName="/xl/charts/style25.xml" ContentType="application/vnd.ms-office.chartstyle+xml"/>
  <Override PartName="/xl/charts/colors25.xml" ContentType="application/vnd.ms-office.chartcolorstyle+xml"/>
  <Override PartName="/xl/charts/style26.xml" ContentType="application/vnd.ms-office.chartstyle+xml"/>
  <Override PartName="/xl/charts/colors26.xml" ContentType="application/vnd.ms-office.chartcolorstyle+xml"/>
  <Override PartName="/xl/charts/style27.xml" ContentType="application/vnd.ms-office.chartstyle+xml"/>
  <Override PartName="/xl/charts/colors27.xml" ContentType="application/vnd.ms-office.chartcolorstyle+xml"/>
  <Override PartName="/xl/charts/style28.xml" ContentType="application/vnd.ms-office.chartstyle+xml"/>
  <Override PartName="/xl/charts/colors28.xml" ContentType="application/vnd.ms-office.chartcolorstyle+xml"/>
  <Override PartName="/xl/charts/style29.xml" ContentType="application/vnd.ms-office.chartstyle+xml"/>
  <Override PartName="/xl/charts/colors29.xml" ContentType="application/vnd.ms-office.chartcolorstyle+xml"/>
  <Override PartName="/xl/charts/style30.xml" ContentType="application/vnd.ms-office.chartstyle+xml"/>
  <Override PartName="/xl/charts/colors30.xml" ContentType="application/vnd.ms-office.chartcolorstyle+xml"/>
  <Override PartName="/xl/charts/style31.xml" ContentType="application/vnd.ms-office.chartstyle+xml"/>
  <Override PartName="/xl/charts/colors31.xml" ContentType="application/vnd.ms-office.chartcolorstyle+xml"/>
  <Override PartName="/xl/charts/style32.xml" ContentType="application/vnd.ms-office.chartstyle+xml"/>
  <Override PartName="/xl/charts/colors3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codeName="{009DFEA7-8C9C-09C3-8CAF-802165E75F88}"/>
  <workbookPr codeName="ThisWorkbook" defaultThemeVersion="166925"/>
  <bookViews>
    <workbookView showSheetTabs="0" xWindow="1470" yWindow="65416" windowWidth="17850" windowHeight="15600" tabRatio="895" activeTab="0"/>
  </bookViews>
  <sheets>
    <sheet name="Home" sheetId="20" r:id="rId1"/>
    <sheet name="Reports" sheetId="19" r:id="rId2"/>
    <sheet name="DataForWebsiteEntry" sheetId="15" r:id="rId3"/>
    <sheet name="ReportAndOutcomeHistory" sheetId="18" r:id="rId4"/>
    <sheet name="Residents" sheetId="2" r:id="rId5"/>
    <sheet name="Medications" sheetId="4" r:id="rId6"/>
    <sheet name="GDR" sheetId="7" r:id="rId7"/>
    <sheet name="UserEnteredLists" sheetId="13" r:id="rId8"/>
    <sheet name="InputLists" sheetId="5" r:id="rId9"/>
    <sheet name="Variables" sheetId="6" r:id="rId10"/>
  </sheets>
  <definedNames>
    <definedName name="_xlnm.Print_Area" localSheetId="2">'DataForWebsiteEntry'!$B$2:$G$70</definedName>
    <definedName name="rngAgeAtDiagnosis">OFFSET('InputLists'!$I$2,0,0,-1+COUNTA('InputLists'!$I:$I),1)</definedName>
    <definedName name="rngClinicians">OFFSET('UserEnteredLists'!$C$2,0,0,MAX(1,-1+COUNTA('UserEnteredLists'!$C:$C)),1)</definedName>
    <definedName name="rngCredentials">OFFSET('InputLists'!$J$2,0,0,-1+COUNTA('InputLists'!$J:$J),1)</definedName>
    <definedName name="rngGDRStatus">OFFSET('InputLists'!$F$2,0,0,-1+COUNTA('InputLists'!$F:$F),1)</definedName>
    <definedName name="rngMedicationClass">OFFSET('InputLists'!$H$2,0,0,-1+COUNTA('InputLists'!$H:$H),1)</definedName>
    <definedName name="rngRoute">OFFSET('InputLists'!$D$2,0,0,-1+COUNTA('InputLists'!$D:$D),1)</definedName>
    <definedName name="rngSelectMonth">OFFSET('InputLists'!$G$2,0,0,-1+COUNTA('InputLists'!$G:$G),1)</definedName>
    <definedName name="rngStayType">OFFSET('InputLists'!$E$2,0,0,-1+COUNTA('InputLists'!$E:$E),1)</definedName>
    <definedName name="rngYesNo">OFFSET('InputLists'!$C$2,0,0,-1+COUNTA('InputLists'!$C:$C),1)</definedName>
  </definedNames>
  <calcPr calcId="191029"/>
  <extLst/>
</workbook>
</file>

<file path=xl/comments9.xml><?xml version="1.0" encoding="utf-8"?>
<comments xmlns="http://schemas.openxmlformats.org/spreadsheetml/2006/main">
  <authors>
    <author>David Reynolds</author>
  </authors>
  <commentList>
    <comment ref="F1" authorId="0">
      <text>
        <r>
          <rPr>
            <b/>
            <sz val="8"/>
            <rFont val="Tahoma"/>
            <family val="2"/>
          </rPr>
          <t>David Reynolds:</t>
        </r>
        <r>
          <rPr>
            <sz val="8"/>
            <rFont val="Tahoma"/>
            <family val="2"/>
          </rPr>
          <t xml:space="preserve">
Other status is "In progress"</t>
        </r>
      </text>
    </comment>
  </commentList>
</comments>
</file>

<file path=xl/sharedStrings.xml><?xml version="1.0" encoding="utf-8"?>
<sst xmlns="http://schemas.openxmlformats.org/spreadsheetml/2006/main" count="2896" uniqueCount="1013">
  <si>
    <t>Resident</t>
  </si>
  <si>
    <t>ResidentID</t>
  </si>
  <si>
    <t>ResidentRow</t>
  </si>
  <si>
    <t>Medication</t>
  </si>
  <si>
    <t>StartDate</t>
  </si>
  <si>
    <t>MedicationIndex</t>
  </si>
  <si>
    <t>MedicationListboxIndex</t>
  </si>
  <si>
    <t>CurrentTab</t>
  </si>
  <si>
    <t>Variable</t>
  </si>
  <si>
    <t>Value</t>
  </si>
  <si>
    <t>MedicationID</t>
  </si>
  <si>
    <t>GDRID</t>
  </si>
  <si>
    <t>Alprazolam (Xanax)</t>
  </si>
  <si>
    <t>Aripiprazole (Abilify)</t>
  </si>
  <si>
    <t>Diazepam (Valium)</t>
  </si>
  <si>
    <t>Lorazepam (Ativan)</t>
  </si>
  <si>
    <t>Mirtazapine (Remeron)</t>
  </si>
  <si>
    <t>Temazepam (Restoril)</t>
  </si>
  <si>
    <t>Clinician</t>
  </si>
  <si>
    <t>Diagnosis</t>
  </si>
  <si>
    <t>Route</t>
  </si>
  <si>
    <t>IsPRN</t>
  </si>
  <si>
    <t>Duration</t>
  </si>
  <si>
    <t>Yes</t>
  </si>
  <si>
    <t>No</t>
  </si>
  <si>
    <t>Clinicians</t>
  </si>
  <si>
    <t>Please click "Enable Content" if this yellow Security Warning banner appears at the top of the Excel screen.</t>
  </si>
  <si>
    <t>Other</t>
  </si>
  <si>
    <t>G-tube</t>
  </si>
  <si>
    <t>Post-acute</t>
  </si>
  <si>
    <t>Long-stay</t>
  </si>
  <si>
    <t>PO</t>
  </si>
  <si>
    <t>IM</t>
  </si>
  <si>
    <t>Depot</t>
  </si>
  <si>
    <t>Anxiety</t>
  </si>
  <si>
    <t>Final Steps:</t>
  </si>
  <si>
    <t>Print this page.</t>
  </si>
  <si>
    <t>Go to the Campaign website:</t>
  </si>
  <si>
    <t>Select "Enter My Data."</t>
  </si>
  <si>
    <t>Click "Submit" and check the screen for the confirmation message.</t>
  </si>
  <si>
    <t>Post-Acute</t>
  </si>
  <si>
    <t>Long-Stay</t>
  </si>
  <si>
    <r>
      <t xml:space="preserve">Monthly Outcome Report
</t>
    </r>
    <r>
      <rPr>
        <b/>
        <sz val="14"/>
        <color theme="1"/>
        <rFont val="Calibri"/>
        <family val="2"/>
        <scheme val="minor"/>
      </rPr>
      <t>Data For Website Entry</t>
    </r>
  </si>
  <si>
    <t>•</t>
  </si>
  <si>
    <t>Number of individuals living with dementia AND a mental health diagnosis</t>
  </si>
  <si>
    <t>Percent of individuals living with dementia with no psychotropic medication orders</t>
  </si>
  <si>
    <t>Select a month:</t>
  </si>
  <si>
    <t>EndDate</t>
  </si>
  <si>
    <t>pgResidentDetails</t>
  </si>
  <si>
    <t>DOB</t>
  </si>
  <si>
    <t>TypeOfCare</t>
  </si>
  <si>
    <t>TypeOfDementia</t>
  </si>
  <si>
    <t>DtBiopsychosocial</t>
  </si>
  <si>
    <t>DemDiagnosisDocumented</t>
  </si>
  <si>
    <t>Bipolar</t>
  </si>
  <si>
    <t>Delirium</t>
  </si>
  <si>
    <t>Depression</t>
  </si>
  <si>
    <t>Huntingtons</t>
  </si>
  <si>
    <t>PTSD</t>
  </si>
  <si>
    <t>Schizophrenia</t>
  </si>
  <si>
    <t>Tourettes</t>
  </si>
  <si>
    <t>MHOther</t>
  </si>
  <si>
    <t>chkStrCommunicatesNeeds</t>
  </si>
  <si>
    <t>chkStrExpressesPreferences</t>
  </si>
  <si>
    <t>chkStrIndividualActivities</t>
  </si>
  <si>
    <t>chkStrLargeGroupActivities</t>
  </si>
  <si>
    <t>chkStrMobile</t>
  </si>
  <si>
    <t>chkStrPersonalCare</t>
  </si>
  <si>
    <t>chkStrPositiveInteractions</t>
  </si>
  <si>
    <t>chkStrSmallGroupActivities</t>
  </si>
  <si>
    <t>chkStrMusic</t>
  </si>
  <si>
    <t>chkStrRhythmicMovements</t>
  </si>
  <si>
    <t>chkStrLikesControl</t>
  </si>
  <si>
    <t>CnsqIrregularVital</t>
  </si>
  <si>
    <t>CnsqBlurredVision</t>
  </si>
  <si>
    <t>CnsqConstipation</t>
  </si>
  <si>
    <t>CnsqDizziness</t>
  </si>
  <si>
    <t>CnsqInsomia</t>
  </si>
  <si>
    <t>CnsqMuscleSpasms</t>
  </si>
  <si>
    <t>CnsqAgitation</t>
  </si>
  <si>
    <t>CnsqFunctionalDecline</t>
  </si>
  <si>
    <t>CnsqAggressiveness</t>
  </si>
  <si>
    <t>CnsqMania</t>
  </si>
  <si>
    <t>CnsqDrowsiness</t>
  </si>
  <si>
    <t>CnsqMemory</t>
  </si>
  <si>
    <t>CnsqAnxiety</t>
  </si>
  <si>
    <t>CnsqDepression</t>
  </si>
  <si>
    <t>CnsqIrritability</t>
  </si>
  <si>
    <t>CnsqEDVisit</t>
  </si>
  <si>
    <t>CnsqFalls</t>
  </si>
  <si>
    <t>DemOtherDescribe</t>
  </si>
  <si>
    <t>MHOtherDescribe</t>
  </si>
  <si>
    <t>vNExpressions</t>
  </si>
  <si>
    <t>Class</t>
  </si>
  <si>
    <t>Antidepressants</t>
  </si>
  <si>
    <t>NextGDRDate</t>
  </si>
  <si>
    <t>vReviewMedicationID</t>
  </si>
  <si>
    <t>Search As You Type - Medication</t>
  </si>
  <si>
    <t>Search As You Type - Resident</t>
  </si>
  <si>
    <t>Status</t>
  </si>
  <si>
    <t>Alprazolam (ALPRAZolam)</t>
  </si>
  <si>
    <t>Antianxiety Agents</t>
  </si>
  <si>
    <t>Alprazolam (Niravam)</t>
  </si>
  <si>
    <t>Alprazolam (Sentrazolam AM)</t>
  </si>
  <si>
    <t>Alprazolam (Gabazolamine)</t>
  </si>
  <si>
    <t>Amobarbital Sodium (Amytal Sodium)</t>
  </si>
  <si>
    <t>Hypnotics/Sedatives/Sleep Disorder Agents</t>
  </si>
  <si>
    <t>Amoxapine (Amoxapine)</t>
  </si>
  <si>
    <t>Aripiprazole (Aristada)</t>
  </si>
  <si>
    <t>Antipsychotics/Antimanic Agents</t>
  </si>
  <si>
    <t>Aripiprazole (ARIPiprazole)</t>
  </si>
  <si>
    <t>Asenapine Maleate SL (Saphris)</t>
  </si>
  <si>
    <t>Brexpiprazole (Rexulti)</t>
  </si>
  <si>
    <t>Bupropion (Aplenzin)</t>
  </si>
  <si>
    <t>Butabarbital Sodium (Butisol Sodium)</t>
  </si>
  <si>
    <t>Carbamazepine (Equetro)</t>
  </si>
  <si>
    <t>Chloral Hydrate Crystals (Chloral Hydrate)</t>
  </si>
  <si>
    <t>Citalopram (Sentralopram AM)</t>
  </si>
  <si>
    <t>Citalopram Hydrobromide (Citalopram Hydrobromide)</t>
  </si>
  <si>
    <t>Citalopram Hydrobromide (CeleXA)</t>
  </si>
  <si>
    <t>Clorazepate Dipotassium (Clorazepate Dipotassium)</t>
  </si>
  <si>
    <t>Clorazepate Dipotassium (Tranxene-T)</t>
  </si>
  <si>
    <t>Clozapine (FazaClo)</t>
  </si>
  <si>
    <t>Clozapine (CloZAPine)</t>
  </si>
  <si>
    <t>Clozapine (Clozaril)</t>
  </si>
  <si>
    <t>Clozapine (Versacloz)</t>
  </si>
  <si>
    <t>Desvenlafaxine (Desvenlafaxine)</t>
  </si>
  <si>
    <t>Desvenlafaxine (Khedezla)</t>
  </si>
  <si>
    <t>Desvenlafaxine Fumarate (Desvenlafaxine Fumarate)</t>
  </si>
  <si>
    <t>Desvenlafaxine Succinate (Desvenlafaxine Succinate)</t>
  </si>
  <si>
    <t>Desvenlafaxine Succinate (Pristiq)</t>
  </si>
  <si>
    <t>Diazepam (DiazePAM)</t>
  </si>
  <si>
    <t>Diazepam (Gabavale)</t>
  </si>
  <si>
    <t>Droperidol (Droperidol)</t>
  </si>
  <si>
    <t>Escitalopram (PRAMLyte)</t>
  </si>
  <si>
    <t>Escitalopram Oxalate (Escitalopram Oxalate)</t>
  </si>
  <si>
    <t>Escitalopram Oxalate (Lexapro)</t>
  </si>
  <si>
    <t>Estazolam (Estazolam)</t>
  </si>
  <si>
    <t>Eszopiclone (Lunesta)</t>
  </si>
  <si>
    <t>Eszopiclone (Eszopiclone)</t>
  </si>
  <si>
    <t>Fluphenazine (FluPHENAZine)</t>
  </si>
  <si>
    <t>Fluvoxamine Maleate (FluvoxaMINE Maleate)</t>
  </si>
  <si>
    <t>Fluvoxamine Maleate (Luvox)</t>
  </si>
  <si>
    <t>Haloperidol (Haloperidol)</t>
  </si>
  <si>
    <t>Haloperidol (Haldol)</t>
  </si>
  <si>
    <t>Hydroxyzine Pamoate (HydrOXYzine Pamoate)</t>
  </si>
  <si>
    <t>Hydroxyzine Pamoate (Vistaril)</t>
  </si>
  <si>
    <t>Iloperidone (Fanapt)</t>
  </si>
  <si>
    <t>Iloperidone (Fanapt Titration Pack)</t>
  </si>
  <si>
    <t>Imipramine Pamoate (Tofranil-PM)</t>
  </si>
  <si>
    <t>Imipramine Pamoate (Imipramine Pamoate)</t>
  </si>
  <si>
    <t>Isocarboxazid (Marplan)</t>
  </si>
  <si>
    <t>Lorazepam (LORazepam)</t>
  </si>
  <si>
    <t>Loxapine Aerosol (Adasuve)</t>
  </si>
  <si>
    <t>Loxapine Succinate (Loxapine Succinate)</t>
  </si>
  <si>
    <t>Loxapine Succinate (Loxitane)</t>
  </si>
  <si>
    <t>Meprobamate (Meprobamate)</t>
  </si>
  <si>
    <t>Midazolam (Midazolam)</t>
  </si>
  <si>
    <t>Mirtazapine (Remeron SolTab)</t>
  </si>
  <si>
    <t>Mirtazapine (Mirtazapine)</t>
  </si>
  <si>
    <t>Olanzapine (OLANZapine)</t>
  </si>
  <si>
    <t>Olanzapine (ZyPREXA Zydis)</t>
  </si>
  <si>
    <t>Olanzapine (ZyPREXA)</t>
  </si>
  <si>
    <t>Olanzapine Pamoate (ZyPREXA Relprevv)</t>
  </si>
  <si>
    <t>Psychotherapeutic And Neurological Agents - Misc.</t>
  </si>
  <si>
    <t>Oxazepam (Oxazepam)</t>
  </si>
  <si>
    <t>Paliperidone (Paliperidone)</t>
  </si>
  <si>
    <t>Paliperidone (Invega)</t>
  </si>
  <si>
    <t>Paliperidone Palmitate (Invega Sustenna)</t>
  </si>
  <si>
    <t>Paliperidone Palmitate (Invega Trinza)</t>
  </si>
  <si>
    <t>Paroxetine Mesylate (Pexeva)</t>
  </si>
  <si>
    <t>Pentobarbital Sodium (Nembutal)</t>
  </si>
  <si>
    <t>Pentobarbital Sodium (PENTobarbital Sodium)</t>
  </si>
  <si>
    <t>Perphenazine (Perphenazine)</t>
  </si>
  <si>
    <t>Perphenazine-Amitriptyline (Perphenazine-Amitriptyline)</t>
  </si>
  <si>
    <t>Phenelzine Sulfate (Nardil)</t>
  </si>
  <si>
    <t>Phenelzine Sulfate (Phenelzine Sulfate)</t>
  </si>
  <si>
    <t>Phenobarbital (PHENobarbital)</t>
  </si>
  <si>
    <t>Phenobarbital Sodium (PHENobarbital Sodium)</t>
  </si>
  <si>
    <t>Pimavanserin Tartrate (Nuplazid)</t>
  </si>
  <si>
    <t>Pimozide (Orap)</t>
  </si>
  <si>
    <t>Pimozide (Pimozide)</t>
  </si>
  <si>
    <t>Prochlorperazine Edisylate (Prochlorperazine Edisylate)</t>
  </si>
  <si>
    <t>Prochlorperazine Maleate (Compazine)</t>
  </si>
  <si>
    <t>Prochlorperazine Maleate (Prochlorperazine Maleate)</t>
  </si>
  <si>
    <t>Prochlorperazine Suppos (Compro)</t>
  </si>
  <si>
    <t>Prochlorperazine Suppos (Prochlorperazine)</t>
  </si>
  <si>
    <t>Prochlorperazine Suppos (Compazine)</t>
  </si>
  <si>
    <t>Quazepam (Doral)</t>
  </si>
  <si>
    <t>Quazepam (Quazepam)</t>
  </si>
  <si>
    <t>Quetiapine Fumarate (QUEtiapine Fumarate)</t>
  </si>
  <si>
    <t>Quetiapine Fumarate (SEROquel)</t>
  </si>
  <si>
    <t>Ramelteon (Rozerem)</t>
  </si>
  <si>
    <t>Risperidone (RisperiDONE)</t>
  </si>
  <si>
    <t>Risperidone (RisperDAL)</t>
  </si>
  <si>
    <t>Risperidone Microspheres (RisperDAL Consta)</t>
  </si>
  <si>
    <t>Secobarbital Sodium (Seconal)</t>
  </si>
  <si>
    <t>Selegiline TD Patch (Emsam)</t>
  </si>
  <si>
    <t>Suvorexant (Belsomra)</t>
  </si>
  <si>
    <t>Tasimelteon (Hetlioz)</t>
  </si>
  <si>
    <t>Temazepam (Temazepam)</t>
  </si>
  <si>
    <t>Temazepam (Strazepam)</t>
  </si>
  <si>
    <t>Thiothixene (Thiothixene)</t>
  </si>
  <si>
    <t>Tranylcypromine Sulfate (Parnate)</t>
  </si>
  <si>
    <t>Tranylcypromine Sulfate (Tranylcypromine Sulfate)</t>
  </si>
  <si>
    <t>Triazolam (Triazolam)</t>
  </si>
  <si>
    <t>Triazolam (Halcion)</t>
  </si>
  <si>
    <t>Trimipramine Maleate (Surmontil)</t>
  </si>
  <si>
    <t>Trimipramine Maleate (Trimipramine Maleate)</t>
  </si>
  <si>
    <t>Vortioxetine (Trintellix)</t>
  </si>
  <si>
    <t>Vortioxetine (Brintellix)</t>
  </si>
  <si>
    <t>Zaleplon (Sonata)</t>
  </si>
  <si>
    <t>Zaleplon (Zaleplon)</t>
  </si>
  <si>
    <t>Ziprasidone Mesylate (Geodon)</t>
  </si>
  <si>
    <t>Zolpidem (Sentrazolpidem PM)</t>
  </si>
  <si>
    <t>Zolpidem (Gabazolpidem)</t>
  </si>
  <si>
    <t>Zolpidem Tartrate (Zolpidem Tartrate)</t>
  </si>
  <si>
    <t>Zolpidem Tartrate (Ambien)</t>
  </si>
  <si>
    <t>Zolpidem Tartrate (Zolpimist)</t>
  </si>
  <si>
    <t>Zolpidem Tartrate SL (Zolpidem Tartrate)</t>
  </si>
  <si>
    <t>Zolpidem Tartrate SL (Intermezzo)</t>
  </si>
  <si>
    <t>Zolpidem Tartrate SL (Edluar)</t>
  </si>
  <si>
    <t>No change in dose</t>
  </si>
  <si>
    <t>Dose reduced</t>
  </si>
  <si>
    <t>Dose increased</t>
  </si>
  <si>
    <t>Medication d/c, other medication added</t>
  </si>
  <si>
    <t>Medication d/c, no added medications</t>
  </si>
  <si>
    <t>Type</t>
  </si>
  <si>
    <t>Notes</t>
  </si>
  <si>
    <t>30-49</t>
  </si>
  <si>
    <t>50-69</t>
  </si>
  <si>
    <t>AgeAnxiety</t>
  </si>
  <si>
    <t>AgeBipolar</t>
  </si>
  <si>
    <t>AgeDelirium</t>
  </si>
  <si>
    <t>AgeDepression</t>
  </si>
  <si>
    <t>AgeHuntingtons</t>
  </si>
  <si>
    <t>AgePTSD</t>
  </si>
  <si>
    <t>AgeSchizophrenia</t>
  </si>
  <si>
    <t>AgeTourettes</t>
  </si>
  <si>
    <t>AgeMHOther</t>
  </si>
  <si>
    <t>MHDiagnosisDocumented</t>
  </si>
  <si>
    <t>PASSR2</t>
  </si>
  <si>
    <t>Fears</t>
  </si>
  <si>
    <t>ServiceArea</t>
  </si>
  <si>
    <t>ExpWalking</t>
  </si>
  <si>
    <t>ExpWandering</t>
  </si>
  <si>
    <t>ExpPacing</t>
  </si>
  <si>
    <t>ExpSearching</t>
  </si>
  <si>
    <t>ExpRepetitiveVocalizations</t>
  </si>
  <si>
    <t>ExpRestlessness</t>
  </si>
  <si>
    <t>ExpDifferentPerceptions</t>
  </si>
  <si>
    <t>ExpResistingCare</t>
  </si>
  <si>
    <t>ExpExitSeeking</t>
  </si>
  <si>
    <t>ExpCrying</t>
  </si>
  <si>
    <t>ExpSlumping</t>
  </si>
  <si>
    <t>ExpAnxiety</t>
  </si>
  <si>
    <t>ExpVerbalAgitation</t>
  </si>
  <si>
    <t>ExpPhysicalAgitation</t>
  </si>
  <si>
    <t>ExpInsomnia</t>
  </si>
  <si>
    <t>ExpNudity</t>
  </si>
  <si>
    <t>ExpSexualInappropriateness</t>
  </si>
  <si>
    <t>ExpDelusions</t>
  </si>
  <si>
    <t>ExpHallucinations</t>
  </si>
  <si>
    <t>ExpTriggersWandering</t>
  </si>
  <si>
    <t>ExpTriggersPacing</t>
  </si>
  <si>
    <t>ExpTriggersSearching</t>
  </si>
  <si>
    <t>ExpTriggersRepetitiveVocalizations</t>
  </si>
  <si>
    <t>ExpTriggersRestlessness</t>
  </si>
  <si>
    <t>ExpTriggersDifferentPerceptions</t>
  </si>
  <si>
    <t>ExpTriggersResistingCare</t>
  </si>
  <si>
    <t>ExpTriggersExitSeeking</t>
  </si>
  <si>
    <t>ExpTriggersCrying</t>
  </si>
  <si>
    <t>ExpTriggersSlumping</t>
  </si>
  <si>
    <t>ExpTriggersAnxiety</t>
  </si>
  <si>
    <t>ExpTriggersVerbalAgitation</t>
  </si>
  <si>
    <t>ExpTriggersPhysicalAgitation</t>
  </si>
  <si>
    <t>ExpTriggersInsomnia</t>
  </si>
  <si>
    <t>ExpTriggersNudity</t>
  </si>
  <si>
    <t>ExpTriggersSexualInappropriateness</t>
  </si>
  <si>
    <t>ExpTriggersDelusions</t>
  </si>
  <si>
    <t>ExpTriggersHallucinations</t>
  </si>
  <si>
    <t>ExpHelpsWandering</t>
  </si>
  <si>
    <t>ExpHelpsPacing</t>
  </si>
  <si>
    <t>ExpHelpsSearching</t>
  </si>
  <si>
    <t>ExpHelpsRepetitiveVocalizations</t>
  </si>
  <si>
    <t>ExpHelpsRestlessness</t>
  </si>
  <si>
    <t>ExpHelpsDifferentPerceptions</t>
  </si>
  <si>
    <t>ExpHelpsResistingCare</t>
  </si>
  <si>
    <t>ExpHelpsExitSeeking</t>
  </si>
  <si>
    <t>ExpHelpsCrying</t>
  </si>
  <si>
    <t>ExpHelpsSlumping</t>
  </si>
  <si>
    <t>ExpHelpsAnxiety</t>
  </si>
  <si>
    <t>ExpHelpsVerbalAgitation</t>
  </si>
  <si>
    <t>ExpHelpsPhysicalAgitation</t>
  </si>
  <si>
    <t>ExpHelpsInsomnia</t>
  </si>
  <si>
    <t>ExpHelpsNudity</t>
  </si>
  <si>
    <t>ExpHelpsSexualInappropriateness</t>
  </si>
  <si>
    <t>ExpHelpsDelusions</t>
  </si>
  <si>
    <t>ExpHelpsHallucinations</t>
  </si>
  <si>
    <t>ExpTryWandering</t>
  </si>
  <si>
    <t>ExpTryPacing</t>
  </si>
  <si>
    <t>ExpTrySearching</t>
  </si>
  <si>
    <t>ExpTryRepetitiveVocalizations</t>
  </si>
  <si>
    <t>ExpTryRestlessness</t>
  </si>
  <si>
    <t>ExpTryDifferentPerceptions</t>
  </si>
  <si>
    <t>ExpTryResistingCare</t>
  </si>
  <si>
    <t>ExpTryExitSeeking</t>
  </si>
  <si>
    <t>ExpTryCrying</t>
  </si>
  <si>
    <t>ExpTrySlumping</t>
  </si>
  <si>
    <t>ExpTryAnxiety</t>
  </si>
  <si>
    <t>ExpTryVerbalAgitation</t>
  </si>
  <si>
    <t>ExpTryPhysicalAgitation</t>
  </si>
  <si>
    <t>ExpTryInsomnia</t>
  </si>
  <si>
    <t>ExpTryNudity</t>
  </si>
  <si>
    <t>ExpTrySexualInappropriateness</t>
  </si>
  <si>
    <t>ExpTryDelusions</t>
  </si>
  <si>
    <t>ExpTryHallucinations</t>
  </si>
  <si>
    <t>ExpNotesWandering</t>
  </si>
  <si>
    <t>ExpNotesPacing</t>
  </si>
  <si>
    <t>ExpNotesSearching</t>
  </si>
  <si>
    <t>ExpNotesRepetitiveVocalizations</t>
  </si>
  <si>
    <t>ExpNotesRestlessness</t>
  </si>
  <si>
    <t>ExpNotesDifferentPerceptions</t>
  </si>
  <si>
    <t>ExpNotesResistingCare</t>
  </si>
  <si>
    <t>ExpNotesExitSeeking</t>
  </si>
  <si>
    <t>ExpNotesCrying</t>
  </si>
  <si>
    <t>ExpNotesSlumping</t>
  </si>
  <si>
    <t>ExpNotesAnxiety</t>
  </si>
  <si>
    <t>ExpNotesVerbalAgitation</t>
  </si>
  <si>
    <t>ExpNotesPhysicalAgitation</t>
  </si>
  <si>
    <t>ExpNotesInsomnia</t>
  </si>
  <si>
    <t>ExpNotesNudity</t>
  </si>
  <si>
    <t>ExpNotesSexualInappropriateness</t>
  </si>
  <si>
    <t>ExpNotesDelusions</t>
  </si>
  <si>
    <t>ExpNotesHallucinations</t>
  </si>
  <si>
    <t>ExpUpdatedWandering</t>
  </si>
  <si>
    <t>ExpUpdatedPacing</t>
  </si>
  <si>
    <t>ExpUpdatedSearching</t>
  </si>
  <si>
    <t>ExpUpdatedRepetitiveVocalizations</t>
  </si>
  <si>
    <t>ExpUpdatedRestlessness</t>
  </si>
  <si>
    <t>ExpUpdatedDifferentPerceptions</t>
  </si>
  <si>
    <t>ExpUpdatedResistingCare</t>
  </si>
  <si>
    <t>ExpUpdatedExitSeeking</t>
  </si>
  <si>
    <t>ExpUpdatedCrying</t>
  </si>
  <si>
    <t>ExpUpdatedSlumping</t>
  </si>
  <si>
    <t>ExpUpdatedAnxiety</t>
  </si>
  <si>
    <t>ExpUpdatedVerbalAgitation</t>
  </si>
  <si>
    <t>ExpUpdatedPhysicalAgitation</t>
  </si>
  <si>
    <t>ExpUpdatedInsomnia</t>
  </si>
  <si>
    <t>ExpUpdatedNudity</t>
  </si>
  <si>
    <t>ExpUpdatedSexualInappropriateness</t>
  </si>
  <si>
    <t>ExpUpdatedDelusions</t>
  </si>
  <si>
    <t>ExpUpdatedHallucinations</t>
  </si>
  <si>
    <t>Pleasant1</t>
  </si>
  <si>
    <t>Pleasant2</t>
  </si>
  <si>
    <t>Pleasant3</t>
  </si>
  <si>
    <t>Pleasant4</t>
  </si>
  <si>
    <t>Pleasant5</t>
  </si>
  <si>
    <t>Pleasant6</t>
  </si>
  <si>
    <t>Pleasant7</t>
  </si>
  <si>
    <t>Pleasant8</t>
  </si>
  <si>
    <t>Pleasant9</t>
  </si>
  <si>
    <t>Pleasant10</t>
  </si>
  <si>
    <t>Pleasant11</t>
  </si>
  <si>
    <t>Strength/Schedule</t>
  </si>
  <si>
    <t>vGDRID</t>
  </si>
  <si>
    <t>vGDRIndex</t>
  </si>
  <si>
    <t>vGDRListboxIndex</t>
  </si>
  <si>
    <t>CnsqOther0</t>
  </si>
  <si>
    <t>CnsqOther1</t>
  </si>
  <si>
    <t>CnsqOther2</t>
  </si>
  <si>
    <t>CnsqOtherSpecify0</t>
  </si>
  <si>
    <t>CnsqOtherSpecify1</t>
  </si>
  <si>
    <t>CnsqOtherSpecify2</t>
  </si>
  <si>
    <t>Credentials</t>
  </si>
  <si>
    <t>MD</t>
  </si>
  <si>
    <t>DO</t>
  </si>
  <si>
    <t>NP</t>
  </si>
  <si>
    <t>PA</t>
  </si>
  <si>
    <t>Percent of individuals tracked this month for whom signs of distress / expressions of unmet need have been recorded</t>
  </si>
  <si>
    <t>Percent of individuals tracked this month for whom signs of distress / expressions of unmet need AND approaches to address those have been recorded</t>
  </si>
  <si>
    <t>Percent of individuals tracked this month for whom 4 or more pleasant moments/meaningful activities have been recorded</t>
  </si>
  <si>
    <t>Percent of individuals receiving psychotropic medication who have multiple psychotropic medication orders</t>
  </si>
  <si>
    <t>Number of individuals tracked this month</t>
  </si>
  <si>
    <t>Number of individuals with a psychotropic medication this month</t>
  </si>
  <si>
    <t>Number of psychotropic medication orders tracked this month</t>
  </si>
  <si>
    <t>Number of individuals tracked this month for whom signs of distress / expressions of unmet need have been recorded</t>
  </si>
  <si>
    <t>Number of individuals tracked this month for whom signs of distress / expressions of unmet need AND approaches to address those have been recorded</t>
  </si>
  <si>
    <t>Number of individuals tracked this month for whom 4 or more pleasant moments/meaningful activities have been recorded</t>
  </si>
  <si>
    <t>Number of individuals living with dementia with no psychotropic medication orders</t>
  </si>
  <si>
    <t>DtAdmit</t>
  </si>
  <si>
    <t>***LivingWDementia</t>
  </si>
  <si>
    <t>***HasMHDiagnosis</t>
  </si>
  <si>
    <t>***TypeOfCare</t>
  </si>
  <si>
    <t>***CurrentOnGDRs</t>
  </si>
  <si>
    <t>***HasPsychotropicMedication</t>
  </si>
  <si>
    <t>***HowManyPsychotropicMedications</t>
  </si>
  <si>
    <t>***MultiplePsychotropicMedications</t>
  </si>
  <si>
    <t>***HasExpressions</t>
  </si>
  <si>
    <t>***HasApproaches</t>
  </si>
  <si>
    <t>***HasFourPleasant</t>
  </si>
  <si>
    <t>***NPleasant</t>
  </si>
  <si>
    <t>PreferredName</t>
  </si>
  <si>
    <t>IV</t>
  </si>
  <si>
    <t>Transdermal</t>
  </si>
  <si>
    <t>Unknown</t>
  </si>
  <si>
    <t>70+</t>
  </si>
  <si>
    <t>chkStrOther0</t>
  </si>
  <si>
    <t>chkStrOther1</t>
  </si>
  <si>
    <t>chkStrOther2</t>
  </si>
  <si>
    <t>StrOtherSpecify0</t>
  </si>
  <si>
    <t>StrOtherSpecify1</t>
  </si>
  <si>
    <t>StrOtherSpecify2</t>
  </si>
  <si>
    <t>ExpOther0</t>
  </si>
  <si>
    <t>ExpOther1</t>
  </si>
  <si>
    <t>ExpOther2</t>
  </si>
  <si>
    <t>ExpOtherSpecify0</t>
  </si>
  <si>
    <t>ExpOtherSpecify1</t>
  </si>
  <si>
    <t>ExpOtherSpecify2</t>
  </si>
  <si>
    <t>ExpTriggersOther0</t>
  </si>
  <si>
    <t>ExpTriggersOther1</t>
  </si>
  <si>
    <t>ExpTriggersOther2</t>
  </si>
  <si>
    <t>ExpHelpsOther0</t>
  </si>
  <si>
    <t>ExpHelpsOther1</t>
  </si>
  <si>
    <t>ExpHelpsOther2</t>
  </si>
  <si>
    <t>ExpTryOther0</t>
  </si>
  <si>
    <t>ExpTryOther1</t>
  </si>
  <si>
    <t>ExpTryOther2</t>
  </si>
  <si>
    <t>ExpNotesOther0</t>
  </si>
  <si>
    <t>ExpNotesOther1</t>
  </si>
  <si>
    <t>ExpNotesOther2</t>
  </si>
  <si>
    <t>ExpUpdatedOther0</t>
  </si>
  <si>
    <t>ExpUpdatedOther1</t>
  </si>
  <si>
    <t>ExpUpdatedOther2</t>
  </si>
  <si>
    <t>CnsqSlumping</t>
  </si>
  <si>
    <t>YesNo</t>
  </si>
  <si>
    <t>StayType</t>
  </si>
  <si>
    <t>GDRStatus</t>
  </si>
  <si>
    <t>SelectMonth</t>
  </si>
  <si>
    <t>MedicationClass</t>
  </si>
  <si>
    <t>AgeAtDiagnosis</t>
  </si>
  <si>
    <t>vFirstMonthOfWorkbookUse</t>
  </si>
  <si>
    <t>InformedRisk</t>
  </si>
  <si>
    <t>InformedTreatment</t>
  </si>
  <si>
    <t>InformedChoose</t>
  </si>
  <si>
    <t>MedRec</t>
  </si>
  <si>
    <t>vFirstTimeUse</t>
  </si>
  <si>
    <t>DtClose</t>
  </si>
  <si>
    <t>Finalized?</t>
  </si>
  <si>
    <t>Month Display</t>
  </si>
  <si>
    <t xml:space="preserve">Number of PRN antipsychotic medication orders active at any time during month
</t>
  </si>
  <si>
    <t>Percent of psychotropic medication orders for which GDR requirements are current** as of the last day of this month</t>
  </si>
  <si>
    <t>Number of individuals living with dementia without mental health diagnosis</t>
  </si>
  <si>
    <t>Number of individuals with mental health diagnosis without dementia diagnosis</t>
  </si>
  <si>
    <t>Start Date</t>
  </si>
  <si>
    <t>End Date</t>
  </si>
  <si>
    <t>***HasStrengths</t>
  </si>
  <si>
    <t>***WasResidentLastDayOfMonth</t>
  </si>
  <si>
    <t>Calculate Now:</t>
  </si>
  <si>
    <t>***WasActiveLastDayOfMonth</t>
  </si>
  <si>
    <t>***WasActiveAnyTimeThisMonth</t>
  </si>
  <si>
    <t>End Date:</t>
  </si>
  <si>
    <t>Start Date:</t>
  </si>
  <si>
    <t>Number of individuals receiving multiple psychotropic medication orders</t>
  </si>
  <si>
    <t>Number of psychotropic medication orders for which GDR requirements are current** as of the last day of this month</t>
  </si>
  <si>
    <t>Last day of month</t>
  </si>
  <si>
    <t>Any time this month</t>
  </si>
  <si>
    <t>Number of psychotropic medication orders as of the last day of this month</t>
  </si>
  <si>
    <t>Number of individuals living with dementia</t>
  </si>
  <si>
    <t>Calculate</t>
  </si>
  <si>
    <t>Number of individuals for whom structured medication reconciliation is noted as complete</t>
  </si>
  <si>
    <t>Is finalized?</t>
  </si>
  <si>
    <t>OldMedication</t>
  </si>
  <si>
    <t>Abilify (aripiprazole)</t>
  </si>
  <si>
    <t>Saphris (asenapine)</t>
  </si>
  <si>
    <t>Thorazine (chlorpromazine)</t>
  </si>
  <si>
    <t>FazaClo (clozapine)</t>
  </si>
  <si>
    <t>Clozaril (clozapine)</t>
  </si>
  <si>
    <t>Prolixin (fluphenazine)</t>
  </si>
  <si>
    <t>Haldol (haloperidol)</t>
  </si>
  <si>
    <t>Fanapt (iloperidone)</t>
  </si>
  <si>
    <t>Loxitane (loxapine)</t>
  </si>
  <si>
    <t>Latuda (lurasidone)</t>
  </si>
  <si>
    <t>Moban (molindone)</t>
  </si>
  <si>
    <t>Zyprexa (olanzapine)</t>
  </si>
  <si>
    <t xml:space="preserve">Symbyax (fluoxetine &amp; olanzapine) </t>
  </si>
  <si>
    <t>Invega (paliperidone)</t>
  </si>
  <si>
    <t>Trilafon (perphenazine)</t>
  </si>
  <si>
    <t>Orap (pimozine)</t>
  </si>
  <si>
    <t>Compazine (prochlorperazine)</t>
  </si>
  <si>
    <t>Seroquel (quetiapine)</t>
  </si>
  <si>
    <t>Risperdal (risperidone)</t>
  </si>
  <si>
    <t>Mellaril (thioridazine)</t>
  </si>
  <si>
    <t>Navane (thiothixene)</t>
  </si>
  <si>
    <t>Stelazine (trifluoperazine)</t>
  </si>
  <si>
    <t>Geodon (ziprasidone)</t>
  </si>
  <si>
    <t>Amitriptyline HCl (Sentravil)</t>
  </si>
  <si>
    <t>Amitriptyline HCl (Amitriptyline HCl)</t>
  </si>
  <si>
    <t>Amitriptyline HCl (Elavil)</t>
  </si>
  <si>
    <t>Bupropion HCl (Appbutamone)</t>
  </si>
  <si>
    <t>Bupropion HCl (Wellbutrin)</t>
  </si>
  <si>
    <t>Bupropion HCl (BuPROPion HCl)</t>
  </si>
  <si>
    <t>Bupropion HCl (Budeprion)</t>
  </si>
  <si>
    <t>Bupropion HCl (Forfivo)</t>
  </si>
  <si>
    <t>Buspirone HCl (BusPIRone HCl)</t>
  </si>
  <si>
    <t>Cariprazine HCl (Vraylar)</t>
  </si>
  <si>
    <t>Chlordiazepoxide HCl (ChlordiazePOXIDE HCl)</t>
  </si>
  <si>
    <t>Chlorpromazine HCl (ChlorproMAZINE HCl)</t>
  </si>
  <si>
    <t>Clomipramine HCl (Anafranil)</t>
  </si>
  <si>
    <t>Clomipramine HCl (ClomiPRAMINE HCl)</t>
  </si>
  <si>
    <t>Desipramine HCl (Norpramin)</t>
  </si>
  <si>
    <t>Desipramine HCl (Desipramine HCl)</t>
  </si>
  <si>
    <t>Dexmedetomidine HCl (Precedex)</t>
  </si>
  <si>
    <t>Dexmedetomidine HCl (Dexmedetomidine HCl)</t>
  </si>
  <si>
    <t>Diphenhydramine (Tylenol Day/Night Ex St)</t>
  </si>
  <si>
    <t>Diphenhydramine (Bayer PM)</t>
  </si>
  <si>
    <t>Diphenhydramine (Pain Relief Day &amp; Night Ex St)</t>
  </si>
  <si>
    <t>Diphenhydramine (GNP Pain Relief Ex St AM/PM)</t>
  </si>
  <si>
    <t>Diphenhydramine HCl (DiphenhydrAMINE HCl)</t>
  </si>
  <si>
    <t>Diphenhydramine HCl (RA Sleep Aid)</t>
  </si>
  <si>
    <t>Diphenhydramine HCl (RA Sleep-Aid Nighttime)</t>
  </si>
  <si>
    <t>Diphenhydramine HCl (GoodSense SleepTime)</t>
  </si>
  <si>
    <t>Diphenhydramine HCl (Wal-Sleep Z)</t>
  </si>
  <si>
    <t>Diphenhydramine HCl (Nytol Maximum Strength)</t>
  </si>
  <si>
    <t>Diphenhydramine HCl (Unisom SleepMelts)</t>
  </si>
  <si>
    <t>Diphenhydramine HCl (Compoz)</t>
  </si>
  <si>
    <t>Diphenhydramine HCl (Unisom Sleepgels)</t>
  </si>
  <si>
    <t>Diphenhydramine HCl (HM Nighttime Sleep Aid)</t>
  </si>
  <si>
    <t>Diphenhydramine HCl (RA Nighttime Sleep Aid)</t>
  </si>
  <si>
    <t>Diphenhydramine HCl (TGT Nighttime Sleep Aid)</t>
  </si>
  <si>
    <t>Diphenhydramine HCl (Simply Sleep)</t>
  </si>
  <si>
    <t>Diphenhydramine HCl (QC Sleep Aid Max St)</t>
  </si>
  <si>
    <t>Diphenhydramine HCl (SM Z-Sleep)</t>
  </si>
  <si>
    <t>Diphenhydramine HCl (HM Z-Sleep)</t>
  </si>
  <si>
    <t>Diphenhydramine HCl (Nighttime Sleep Aid)</t>
  </si>
  <si>
    <t>Diphenhydramine HCl (Wal-Sleep Z Liquid Shots)</t>
  </si>
  <si>
    <t>Diphenhydramine HCl (Sleep-Aid Maximum Strength)</t>
  </si>
  <si>
    <t>Diphenhydramine HCl (GoodSense Sleep Aid)</t>
  </si>
  <si>
    <t>Diphenhydramine HCl (CVS Sleep Aid Nighttime)</t>
  </si>
  <si>
    <t>Diphenhydramine HCl (TH Rest Simply)</t>
  </si>
  <si>
    <t>Diphenhydramine HCl (Sleep II)</t>
  </si>
  <si>
    <t>Diphenhydramine HCl (Restfully Sleep)</t>
  </si>
  <si>
    <t>Diphenhydramine HCl (TGT Sleep Aid Max Strength)</t>
  </si>
  <si>
    <t>Diphenhydramine HCl (TH Sleep Aid)</t>
  </si>
  <si>
    <t>Diphenhydramine HCl (EQ Nighttime Sleep Aid Max St)</t>
  </si>
  <si>
    <t>Diphenhydramine HCl (EQ Nighttime Sleep Aid)</t>
  </si>
  <si>
    <t>Diphenhydramine HCl (Sleep Aid (DiphenhydrAMINE))</t>
  </si>
  <si>
    <t>Diphenhydramine HCl (CVS Sleep Aid)</t>
  </si>
  <si>
    <t>Diphenhydramine HCl (Sominex Maximum Strength)</t>
  </si>
  <si>
    <t>Diphenhydramine HCl (RA Sleep Aid (Diphenhydramine))</t>
  </si>
  <si>
    <t>Diphenhydramine HCl (NightTime Sleep)</t>
  </si>
  <si>
    <t>Diphenhydramine HCl (Rest Simply)</t>
  </si>
  <si>
    <t>Diphenhydramine HCl (SM Sleep Aid Night Time)</t>
  </si>
  <si>
    <t>Diphenhydramine HCl (GNP Sleep Time)</t>
  </si>
  <si>
    <t>Diphenhydramine HCl (EQL Sleep Aid)</t>
  </si>
  <si>
    <t>Diphenhydramine HCl (GNP Nighttime Sleep Aid)</t>
  </si>
  <si>
    <t>Diphenhydramine HCl (EQL Nighttime Sleep Aid)</t>
  </si>
  <si>
    <t>Diphenhydramine HCl (SB Sleep)</t>
  </si>
  <si>
    <t>Diphenhydramine HCl (Wal-Som Maximum Strength)</t>
  </si>
  <si>
    <t>Diphenhydramine HCl (Sleep Aid)</t>
  </si>
  <si>
    <t>Diphenhydramine HCl (Sominex)</t>
  </si>
  <si>
    <t>Diphenhydramine HCl (Nytol)</t>
  </si>
  <si>
    <t>Diphenhydramine HCl (QC Rest Simply)</t>
  </si>
  <si>
    <t>Diphenhydramine HCl (ZzzQuil)</t>
  </si>
  <si>
    <t>Diphenhydramine HCl (Nyt-Time Sleep)</t>
  </si>
  <si>
    <t>Diphenhydramine HCl (Sleep-Tabs)</t>
  </si>
  <si>
    <t>Diphenhydramine HCl (SM Sleep Aid Maximum Strength)</t>
  </si>
  <si>
    <t>Diphenhydramine HCl (Wal-Som)</t>
  </si>
  <si>
    <t>Diphenhydramine HCl (EQ Sleep-Aid Nighttime)</t>
  </si>
  <si>
    <t>Diphenhydramine HCl (Sleep)</t>
  </si>
  <si>
    <t>Diphenhydramine HCl (Tetra-Formula Nighttime Sleep)</t>
  </si>
  <si>
    <t>Diphenhydramine HCl (SM Nighttime Sleep Aid)</t>
  </si>
  <si>
    <t>Diphenhydramine HCl (Night Time Sleep Aid)</t>
  </si>
  <si>
    <t>Diphenhydramine-Acetaminophen (TGT Pain Reliever PM)</t>
  </si>
  <si>
    <t>Diphenhydramine-Acetaminophen (Diphenhydramine)</t>
  </si>
  <si>
    <t>Diphenhydramine-Acetaminophen (Midol PM)</t>
  </si>
  <si>
    <t>Diphenhydramine-Acetaminophen (QC Non-Aspirin PM)</t>
  </si>
  <si>
    <t>Diphenhydramine-Acetaminophen (Pain Reliever PM)</t>
  </si>
  <si>
    <t>Diphenhydramine-Acetaminophen (Mapap PM)</t>
  </si>
  <si>
    <t>Diphenhydramine-Acetaminophen (SM Headache Relief PM)</t>
  </si>
  <si>
    <t>Diphenhydramine-Acetaminophen (Headache PM)</t>
  </si>
  <si>
    <t>Diphenhydramine-Acetaminophen (HM Acetaminophen PM Ex St)</t>
  </si>
  <si>
    <t>Diphenhydramine-Acetaminophen (Goodys PM)</t>
  </si>
  <si>
    <t>Diphenhydramine-Acetaminophen (Tylenol PM Extra Strength)</t>
  </si>
  <si>
    <t>Diphenhydramine-Acetaminophen (Acetaminophen PM)</t>
  </si>
  <si>
    <t>Diphenhydramine-Acetaminophen (SB Non-Aspirin Nighttime)</t>
  </si>
  <si>
    <t>Diphenhydramine-Acetaminophen (EQL Acetaminophen PM)</t>
  </si>
  <si>
    <t>Diphenhydramine-Acetaminophen (Acetaminophen PM Ex St)</t>
  </si>
  <si>
    <t>Diphenhydramine-Acetaminophen (GNP Pain Relief PM Ex St)</t>
  </si>
  <si>
    <t>Diphenhydramine-Acetaminophen (QC Headache Relief PM)</t>
  </si>
  <si>
    <t>Diphenhydramine-Acetaminophen (CVS Pain Relief PM Ex St)</t>
  </si>
  <si>
    <t>Diphenhydramine-Acetaminophen (PX Pain Relief PM Ex St)</t>
  </si>
  <si>
    <t>Diphenhydramine-Acetaminophen (CVS Non-Aspirin Headache PM)</t>
  </si>
  <si>
    <t>Diphenhydramine-Acetaminophen (Pain Reliever PM Ex St)</t>
  </si>
  <si>
    <t>Diphenhydramine-Acetaminophen (HM Pain Reliever PM Ex St)</t>
  </si>
  <si>
    <t>Diphenhydramine-Acetaminophen (GoodSense Headache PM)</t>
  </si>
  <si>
    <t>Diphenhydramine-Acetaminophen (Unisom PM Pain)</t>
  </si>
  <si>
    <t>Diphenhydramine-Acetaminophen (Headache Relief PM)</t>
  </si>
  <si>
    <t>Diphenhydramine-Acetaminophen (SM Pain Reliever PM Ex St)</t>
  </si>
  <si>
    <t>Diphenhydramine-Acetaminophen (TH Acetaminophen PM Ex St)</t>
  </si>
  <si>
    <t>Diphenhydramine-Acetaminophen (Excedrin PM)</t>
  </si>
  <si>
    <t>Diphenhydramine-Acetaminophen (Healthy Mama eaZZZe the Pain)</t>
  </si>
  <si>
    <t>Diphenhydramine-Acetaminophen (Night Time Pain Medicine Ex St)</t>
  </si>
  <si>
    <t>Diphenhydramine-Acetaminophen (Non-Aspirin PM Extra Strength)</t>
  </si>
  <si>
    <t>Diphenhydramine-Acetaminophen (SB Pain Reliever PM)</t>
  </si>
  <si>
    <t>Diphenhydramine-Acetaminophen (KLS Non-Aspirin PM)</t>
  </si>
  <si>
    <t>Diphenhydramine-Acetaminophen (Pain Relief PM Extra Strength)</t>
  </si>
  <si>
    <t>Diphenhydramine-Acetaminophen (GNP Headache PM)</t>
  </si>
  <si>
    <t>Diphenhydramine-Acetaminophen (GoodSense Pain Relief PM Ex St)</t>
  </si>
  <si>
    <t>Diphenhydramine-Acetaminophen (EQL Pain Relief PM Ex St)</t>
  </si>
  <si>
    <t>Diphenhydramine-Acetaminophen (RA Acetaminophen PM Ex St)</t>
  </si>
  <si>
    <t>Diphenhydramine-Acetaminophen (EQL Pain Relief PM)</t>
  </si>
  <si>
    <t>Diphenhydramine-Acetaminophen (SB Non-ASA Night Time)</t>
  </si>
  <si>
    <t>Diphenhydramine-Acetaminophen (TH Pain Reliever PM Ex St)</t>
  </si>
  <si>
    <t>Diphenhydramine-Acetaminophen (RA Pain Reliever PM)</t>
  </si>
  <si>
    <t>Diphenhydramine-Acetaminophen (EQL Headache PM)</t>
  </si>
  <si>
    <t>Diphenhydramine-Acetaminophen (CVS Non-Aspirin PM)</t>
  </si>
  <si>
    <t>Diphenhydramine-Acetaminophen (EQ Acetaminophen PM)</t>
  </si>
  <si>
    <t>Diphenhydramine-Acetaminophen (Medi-Tabs PM Extra Strength)</t>
  </si>
  <si>
    <t>Doxepin HCl (Doxepin HCl)</t>
  </si>
  <si>
    <t>Doxepin HCl (Silenor)</t>
  </si>
  <si>
    <t>Doxylamine Succinate (Medi-Sleep)</t>
  </si>
  <si>
    <t>Doxylamine Succinate (Wal-Som)</t>
  </si>
  <si>
    <t>Doxylamine Succinate (CVS Sleep-Aid Nighttime)</t>
  </si>
  <si>
    <t>Doxylamine Succinate (EQL Sleep Aid)</t>
  </si>
  <si>
    <t>Doxylamine Succinate (Sleep Aid)</t>
  </si>
  <si>
    <t>Doxylamine Succinate (Nitetime Sleep-Aid)</t>
  </si>
  <si>
    <t>Doxylamine Succinate (EQ Sleep Aid)</t>
  </si>
  <si>
    <t>Doxylamine Succinate (RA Sleep Aid)</t>
  </si>
  <si>
    <t>Doxylamine Succinate (RA Night Sleep Aid)</t>
  </si>
  <si>
    <t>Doxylamine Succinate (SM Sleep Aid)</t>
  </si>
  <si>
    <t>Doxylamine Succinate (KLS Sleep Aid)</t>
  </si>
  <si>
    <t>Doxylamine Succinate (Unisom)</t>
  </si>
  <si>
    <t>Doxylamine Succinate (GNP Sleep Aid)</t>
  </si>
  <si>
    <t>Doxylamine Succinate (HM Sleep Aid)</t>
  </si>
  <si>
    <t>Doxylamine Succinate (CVS Ultra Sleep)</t>
  </si>
  <si>
    <t>Duloxetine HCl Enteric Coated Pellets (Cymbalta)</t>
  </si>
  <si>
    <t>Duloxetine HCl Enteric Coated Pellets (DULoxetine HCl)</t>
  </si>
  <si>
    <t>Duloxetine HCl Enteric Coated Pellets (Irenka)</t>
  </si>
  <si>
    <t>Fluoxetine HCl (FLUoxetine HCl)</t>
  </si>
  <si>
    <t>Fluoxetine HCl (Sentroxatine)</t>
  </si>
  <si>
    <t>Fluoxetine HCl (Gaboxetine)</t>
  </si>
  <si>
    <t>Fluoxetine HCl (PROzac)</t>
  </si>
  <si>
    <t>Fluoxetine HCl (PROzac Weekly)</t>
  </si>
  <si>
    <t>Fluoxetine HCl (Sentraflox AM)</t>
  </si>
  <si>
    <t>Fluoxetine HCl Solution (FLUoxetine HCl)</t>
  </si>
  <si>
    <t>Fluphenazine HCl (FluPHENAZine HCl)</t>
  </si>
  <si>
    <t>Flurazepam HCl (Flurazepam HCl)</t>
  </si>
  <si>
    <t>Hydroxyzine HCl (HydrOXYzine HCl)</t>
  </si>
  <si>
    <t>Ibuprofen-Diphenhydramine (EQ Ibuprofen PM)</t>
  </si>
  <si>
    <t>Ibuprofen-Diphenhydramine (Ibuprofen PM)</t>
  </si>
  <si>
    <t>Ibuprofen-Diphenhydramine (GoodSense Ibuprofen PM)</t>
  </si>
  <si>
    <t>Ibuprofen-Diphenhydramine (EQL Ibuprofen PM)</t>
  </si>
  <si>
    <t>Ibuprofen-Diphenhydramine (HM Ibuprofen PM)</t>
  </si>
  <si>
    <t>Ibuprofen-Diphenhydramine (TGT Ibuprofen PM)</t>
  </si>
  <si>
    <t>Ibuprofen-Diphenhydramine (Motrin PM)</t>
  </si>
  <si>
    <t>Ibuprofen-Diphenhydramine (CVS Ibuprofen PM)</t>
  </si>
  <si>
    <t>Ibuprofen-Diphenhydramine (RA Ibuprofen PM)</t>
  </si>
  <si>
    <t>Ibuprofen-Diphenhydramine (GNP Ibuprofen PM)</t>
  </si>
  <si>
    <t>Ibuprofen-Diphenhydramine (SM Ibuprofen PM)</t>
  </si>
  <si>
    <t>Ibuprofen-Diphenhydramine (Advil PM)</t>
  </si>
  <si>
    <t>Ibuprofen-Diphenhydramine HCl (QC Ibuprofen-Diphenhydramine)</t>
  </si>
  <si>
    <t>Ibuprofen-Diphenhydramine HCl (Advil PM)</t>
  </si>
  <si>
    <t>Ibuprofen-Diphenhydramine HCl (Ibuprofen PM)</t>
  </si>
  <si>
    <t>Ibuprofen-Diphenhydramine HCl (Ibuprofen-Diphenhydramine HCl)</t>
  </si>
  <si>
    <t>Imipramine HCl (Imipramine HCl)</t>
  </si>
  <si>
    <t>Imipramine HCl (Tofranil)</t>
  </si>
  <si>
    <t>Levomilnacipran HCl (Fetzima)</t>
  </si>
  <si>
    <t>Levomilnacipran HCl (Fetzima Titration)</t>
  </si>
  <si>
    <t>Lurasidone HCl (Latuda)</t>
  </si>
  <si>
    <t>Maprotiline HCl (Maprotiline HCl)</t>
  </si>
  <si>
    <t>Midazolam HCl (Midazolam HCl)</t>
  </si>
  <si>
    <t>Midazolam HCl (Midazolam HCl-NaCl (PF))</t>
  </si>
  <si>
    <t>Molindone HCl (Molindone HCl)</t>
  </si>
  <si>
    <t>Naproxen Sodium-Diphenhydramine HCl (Aleve PM)</t>
  </si>
  <si>
    <t>Naproxen Sodium-Diphenhydramine HCl (RA Naproxen Sodium PM)</t>
  </si>
  <si>
    <t>Nefazodone HCl (Nefazodone HCl)</t>
  </si>
  <si>
    <t>Nortriptyline HCl (Pamelor)</t>
  </si>
  <si>
    <t>Nortriptyline HCl (Nortriptyline HCl)</t>
  </si>
  <si>
    <t>Olanzapine-Fluoxetine HCl (Symbyax)</t>
  </si>
  <si>
    <t>Olanzapine-Fluoxetine HCl (OLANZapine-FLUoxetine HCl)</t>
  </si>
  <si>
    <t>Paroxetine HCl (PARoxetine HCl)</t>
  </si>
  <si>
    <t>Paroxetine HCl (Paxil)</t>
  </si>
  <si>
    <t>Protriptyline HCl (Vivactil)</t>
  </si>
  <si>
    <t>Protriptyline HCl (Protriptyline HCl)</t>
  </si>
  <si>
    <t>Sertraline HCl (Sertraline HCl)</t>
  </si>
  <si>
    <t>Sertraline HCl (Zoloft)</t>
  </si>
  <si>
    <t>Thioridazine HCl (Thioridazine HCl)</t>
  </si>
  <si>
    <t>Trazodone HCl (Oleptro)</t>
  </si>
  <si>
    <t>Trazodone HCl (Trazamine)</t>
  </si>
  <si>
    <t>Trazodone HCl (TraZODone HCl)</t>
  </si>
  <si>
    <t>Trifluoperazine HCl (Trifluoperazine HCl)</t>
  </si>
  <si>
    <t>Venlafaxine HCl (Venlafaxine HCl)</t>
  </si>
  <si>
    <t>Venlafaxine HCl (Effexor)</t>
  </si>
  <si>
    <t>Vilazodone HCl (Viibryd Starter Pack)</t>
  </si>
  <si>
    <t>Vilazodone HCl (Viibryd)</t>
  </si>
  <si>
    <t>Ziprasidone HCl (Ziprasidone HCl)</t>
  </si>
  <si>
    <t>Ziprasidone HCl (Geodon)</t>
  </si>
  <si>
    <t>ExpRepetitiveMovement</t>
  </si>
  <si>
    <t>ExpTriggersRepetitiveMovement</t>
  </si>
  <si>
    <t>ExpHelpsRepetitiveMovement</t>
  </si>
  <si>
    <t>ExpTryRepetitiveMovement</t>
  </si>
  <si>
    <t>ExpNotesRepetitiveMovement</t>
  </si>
  <si>
    <t>ExpUpdatedRepetitiveMovement</t>
  </si>
  <si>
    <t>&lt; 30</t>
  </si>
  <si>
    <t>***ForSortingIsActive</t>
  </si>
  <si>
    <t>Changes in vital signs</t>
  </si>
  <si>
    <t>Blurred vision</t>
  </si>
  <si>
    <t>Constipation, diarrhea, nausea, or frequent urination</t>
  </si>
  <si>
    <t>Dizziness</t>
  </si>
  <si>
    <t>Insomnia, trouble sleeping, or nightmares</t>
  </si>
  <si>
    <t>Muscle spasms, tics or rigidity, seizures, or tremors</t>
  </si>
  <si>
    <t>Agitation or restlessness</t>
  </si>
  <si>
    <t>Decline in functioning (e.g., ADLs)</t>
  </si>
  <si>
    <t>Acting aggressively, being angry, or violent</t>
  </si>
  <si>
    <t>An extreme increase in activity and talking (mania)</t>
  </si>
  <si>
    <t>Drowsiness or sleepiness</t>
  </si>
  <si>
    <t>Difficulty thinking or remembering</t>
  </si>
  <si>
    <t>New or worsening anxiety</t>
  </si>
  <si>
    <t>New or worsening depression</t>
  </si>
  <si>
    <t>New or worsening irritability</t>
  </si>
  <si>
    <t>ED visit or hospital admission</t>
  </si>
  <si>
    <t>Increased falls</t>
  </si>
  <si>
    <t>Slumping</t>
  </si>
  <si>
    <t>Other (please specify):</t>
  </si>
  <si>
    <t>IrregularVital</t>
  </si>
  <si>
    <t>BlurredVision</t>
  </si>
  <si>
    <t>Constipation</t>
  </si>
  <si>
    <t>Insomia</t>
  </si>
  <si>
    <t>MuscleSpasms</t>
  </si>
  <si>
    <t>Agitation</t>
  </si>
  <si>
    <t>FunctionalDecline</t>
  </si>
  <si>
    <t>Aggressiveness</t>
  </si>
  <si>
    <t>Mania</t>
  </si>
  <si>
    <t>Drowsiness</t>
  </si>
  <si>
    <t>Memory</t>
  </si>
  <si>
    <t>Irritability</t>
  </si>
  <si>
    <t>EDVisit</t>
  </si>
  <si>
    <t>Falls</t>
  </si>
  <si>
    <t>Other0</t>
  </si>
  <si>
    <t>Other1</t>
  </si>
  <si>
    <t>Other2</t>
  </si>
  <si>
    <t>Consequence</t>
  </si>
  <si>
    <t>ConsequenceDisplay</t>
  </si>
  <si>
    <t>Individualizing Care</t>
  </si>
  <si>
    <t>Psychotropic Medications</t>
  </si>
  <si>
    <t>Strength</t>
  </si>
  <si>
    <t>StrengthDisplay</t>
  </si>
  <si>
    <t>Communicates needs</t>
  </si>
  <si>
    <t>Expresses preferences</t>
  </si>
  <si>
    <t>Positive interactions with others</t>
  </si>
  <si>
    <t>Mobility (with or without assistive device)</t>
  </si>
  <si>
    <t>Engages in personal care/grooming</t>
  </si>
  <si>
    <t>Enjoys reciting songs, prayers, poetry</t>
  </si>
  <si>
    <t>Enjoys rhythmic movements, dancing</t>
  </si>
  <si>
    <t>Likes to be in control</t>
  </si>
  <si>
    <t>Enjoys 1:1 activities</t>
  </si>
  <si>
    <t>Enjoys small group activities</t>
  </si>
  <si>
    <t>Enjoys large group activities</t>
  </si>
  <si>
    <t>expWandering</t>
  </si>
  <si>
    <t>Wandering</t>
  </si>
  <si>
    <t>expSearching</t>
  </si>
  <si>
    <t>Searching</t>
  </si>
  <si>
    <t>expPacing</t>
  </si>
  <si>
    <t>Pacing</t>
  </si>
  <si>
    <t>expExitSeeking</t>
  </si>
  <si>
    <t>Exit-seeking</t>
  </si>
  <si>
    <t>expNudity</t>
  </si>
  <si>
    <t>Nudity/inappropriate disrobing</t>
  </si>
  <si>
    <t>expSexualInappropriateness</t>
  </si>
  <si>
    <t>Sexual inappropriateness</t>
  </si>
  <si>
    <t>expResistingCare</t>
  </si>
  <si>
    <t>Resisting care</t>
  </si>
  <si>
    <t>expCrying</t>
  </si>
  <si>
    <t>Crying</t>
  </si>
  <si>
    <t>expSlumping</t>
  </si>
  <si>
    <t>expAnxiety</t>
  </si>
  <si>
    <t>expInsomnia</t>
  </si>
  <si>
    <t>Insomnia</t>
  </si>
  <si>
    <t>expRepetitiveMovement</t>
  </si>
  <si>
    <t>Repetitive movement</t>
  </si>
  <si>
    <t>expRepetitiveVocalizations</t>
  </si>
  <si>
    <t>Repetitive vocalizations</t>
  </si>
  <si>
    <t>expRestlessness</t>
  </si>
  <si>
    <t>Restlessness</t>
  </si>
  <si>
    <t>expVerbalAgitation</t>
  </si>
  <si>
    <t>Verbal agitation</t>
  </si>
  <si>
    <t>expPhysicalAgitation</t>
  </si>
  <si>
    <t>Physical agitation</t>
  </si>
  <si>
    <t>expDifferentPerceptions</t>
  </si>
  <si>
    <t>Different perceptions</t>
  </si>
  <si>
    <t>expDelusions</t>
  </si>
  <si>
    <t>Delusions or confabulation</t>
  </si>
  <si>
    <t>expHallucinations</t>
  </si>
  <si>
    <t>Hallucinations</t>
  </si>
  <si>
    <t>expOther0</t>
  </si>
  <si>
    <t>expOther1</t>
  </si>
  <si>
    <t>expOther2</t>
  </si>
  <si>
    <t>Expression</t>
  </si>
  <si>
    <t>ExpressionDisplay</t>
  </si>
  <si>
    <t>cResReviewNotes0</t>
  </si>
  <si>
    <t>cResReviewNotes1</t>
  </si>
  <si>
    <t>cResReviewNotes2</t>
  </si>
  <si>
    <t>cResReviewNotes3</t>
  </si>
  <si>
    <t>cResReviewNotes4</t>
  </si>
  <si>
    <t>cResReviewNotes5</t>
  </si>
  <si>
    <t>cResReviewNotes6</t>
  </si>
  <si>
    <t>cResReviewNotes7</t>
  </si>
  <si>
    <t>cResReviewNotes8</t>
  </si>
  <si>
    <t>cResReviewNotes9</t>
  </si>
  <si>
    <t>cResReviewNotes10</t>
  </si>
  <si>
    <t>cResReviewNotes11</t>
  </si>
  <si>
    <t>This material was prepared by Telligen, National Nursing Home Quality Improvement (NNHQI) Campaign Special Innovation Project contractor, under contract with the Centers for Medicare &amp; Medicaid Services (CMS), an agency of the U.S. Department of Health and Human Services. The contents presented do not necessarily reflect CMS policy. 11SOW-CO-NNHQIC-11/18-002</t>
  </si>
  <si>
    <t>&gt;=3</t>
  </si>
  <si>
    <t>Number of medications prescribed to individuals living with dementia for Expression Not Specified</t>
  </si>
  <si>
    <t>***ExpressionNotSpecified</t>
  </si>
  <si>
    <t>Number of medications for expression Other</t>
  </si>
  <si>
    <t>Both</t>
  </si>
  <si>
    <t>Neither</t>
  </si>
  <si>
    <t>Preferences and Joys</t>
  </si>
  <si>
    <t># Residents</t>
  </si>
  <si>
    <t>7+</t>
  </si>
  <si>
    <t>Rank</t>
  </si>
  <si>
    <t>Oth</t>
  </si>
  <si>
    <t>Name</t>
  </si>
  <si>
    <t>Medications</t>
  </si>
  <si>
    <t>Number of Residents Tracked This Month</t>
  </si>
  <si>
    <t>Preferences &amp; Joys Recorded</t>
  </si>
  <si>
    <t>Mental Health Diagnosis</t>
  </si>
  <si>
    <t>Target Symptom</t>
  </si>
  <si>
    <t>Select month:</t>
  </si>
  <si>
    <t>All Other Symptoms</t>
  </si>
  <si>
    <t>No current PTM orders</t>
  </si>
  <si>
    <t>1 PTM order</t>
  </si>
  <si>
    <t>2 PTM orders</t>
  </si>
  <si>
    <t>3+ PTM orders</t>
  </si>
  <si>
    <t>Dementia Diagnosis</t>
  </si>
  <si>
    <t>Ensure that all records have been updated through the last day of the month selected.</t>
  </si>
  <si>
    <t>Total</t>
  </si>
  <si>
    <t>Percent of Residents Tracked This Month</t>
  </si>
  <si>
    <t>Percent of individuals admitted this month for whom structured medication reconciliation is noted as complete</t>
  </si>
  <si>
    <t>***AdmittedThisMonth</t>
  </si>
  <si>
    <t>Number of individuals admitted this month</t>
  </si>
  <si>
    <t>Number of individuals admitted this month for whom structured medication reconciliation is noted as complete</t>
  </si>
  <si>
    <t>Percent</t>
  </si>
  <si>
    <t>% Residents</t>
  </si>
  <si>
    <t>Choose the Dementia Care goal and enter the numbers below in the corresponding fields.</t>
  </si>
  <si>
    <r>
      <rPr>
        <sz val="11"/>
        <color rgb="FFC00000"/>
        <rFont val="Calibri"/>
        <family val="2"/>
        <scheme val="minor"/>
      </rPr>
      <t>IMPORTANT FOR PILOT TESTERS</t>
    </r>
    <r>
      <rPr>
        <sz val="11"/>
        <color theme="1"/>
        <rFont val="Calibri"/>
        <family val="2"/>
        <scheme val="minor"/>
      </rPr>
      <t xml:space="preserve"> In the final version of the workbook, instructions for
transferring the monthly outcomes to the Campaign website will be displayed here.
Transferring monthly outcomes to the website will provide the user with trend graphs
of these quality improvement goals.</t>
    </r>
  </si>
  <si>
    <t>Admitted this month</t>
  </si>
  <si>
    <t>Not recorded</t>
  </si>
  <si>
    <t>Informed of the risks and benefits of proposed care</t>
  </si>
  <si>
    <t>Informed of treatment and treatment alternatives or treatment options</t>
  </si>
  <si>
    <t>Chosen the alternative or option he or she prefers</t>
  </si>
  <si>
    <t>Number of psychotropic medication orders tracked this month for residents living with dementia</t>
  </si>
  <si>
    <t>ALZHEIMERS</t>
  </si>
  <si>
    <t>MIXED</t>
  </si>
  <si>
    <t>VASCULAR</t>
  </si>
  <si>
    <t>vSearchCurrentResidentsOnly</t>
  </si>
  <si>
    <t>vCheckToFinalizeOutcomes</t>
  </si>
  <si>
    <r>
      <rPr>
        <b/>
        <sz val="11"/>
        <color rgb="FFDA0000"/>
        <rFont val="Arial"/>
        <family val="2"/>
      </rPr>
      <t xml:space="preserve">Confidentiality is important. </t>
    </r>
    <r>
      <rPr>
        <sz val="11"/>
        <color rgb="FF993300"/>
        <rFont val="Arial"/>
        <family val="2"/>
      </rPr>
      <t>Please do not transmit this form with resident-identifying information. 
Use the Create De-identified Copy button below to create a de-identified tool for transmission.</t>
    </r>
  </si>
  <si>
    <t>FORMULAS FOR PASTING - DO NOT MODIFY THIS COLUMN</t>
  </si>
  <si>
    <t>Number of individuals living with dementia (with or without mental health diagnosis)</t>
  </si>
  <si>
    <t>Number of individuals with mental health diagnosis (with or without dementia diagnosis)</t>
  </si>
  <si>
    <t>Number of individuals living with dementia with diagnostic rationale documented</t>
  </si>
  <si>
    <t>Number of individuals with mental health diagnosis with diagnostic rationale documented</t>
  </si>
  <si>
    <t>Number of individuals with mental health diagnosis with PASRR 2 complete</t>
  </si>
  <si>
    <t>Number of individuals with at least one strength noted</t>
  </si>
  <si>
    <t>Number of individuals with at least one dislike noted</t>
  </si>
  <si>
    <t>***NConsequences</t>
  </si>
  <si>
    <t>&gt;=4</t>
  </si>
  <si>
    <t>LEWY BODIES</t>
  </si>
  <si>
    <t>OTHER</t>
  </si>
  <si>
    <t>HideRibbonAndFormulaBar</t>
  </si>
  <si>
    <t>Individuals living with dementia with diagnostic criteria documented</t>
  </si>
  <si>
    <t>Individuals with mental health diagnosis with diagnostic criteria documented</t>
  </si>
  <si>
    <t>Individuals with mental health diagnosis with PASRR 2 complete</t>
  </si>
  <si>
    <t>Num</t>
  </si>
  <si>
    <t>Denom</t>
  </si>
  <si>
    <t>Rate</t>
  </si>
  <si>
    <t>Number of GDRs completed this month or still in progress at end of month</t>
  </si>
  <si>
    <t>Number of GDRs still in progress at end of month</t>
  </si>
  <si>
    <t>Completed this month</t>
  </si>
  <si>
    <t>In progress at end of month</t>
  </si>
  <si>
    <t>Completed this month or in progress at end of month</t>
  </si>
  <si>
    <t>***ReductionAttemptStillOpenEndOfMonth</t>
  </si>
  <si>
    <t>***ReductionAttemptClosedThisMonth</t>
  </si>
  <si>
    <t>***ReductionAttemptCountsThisMonth</t>
  </si>
  <si>
    <t>***ContraindicatedThisMonth</t>
  </si>
  <si>
    <t>Number of GDRs contraindicated this month</t>
  </si>
  <si>
    <t>Number of GDRs contraindicated this month with rationale documented</t>
  </si>
  <si>
    <t>Number of GDRs contraindicated this month with rationale not documented</t>
  </si>
  <si>
    <t>Raw</t>
  </si>
  <si>
    <t>For graph</t>
  </si>
  <si>
    <t>Num &amp; Pct</t>
  </si>
  <si>
    <t>Pct</t>
  </si>
  <si>
    <t>Individuals with at least one dislike noted</t>
  </si>
  <si>
    <t>Individuals with at least one strength noted</t>
  </si>
  <si>
    <t>Individuals tracked this month</t>
  </si>
  <si>
    <t>PRN</t>
  </si>
  <si>
    <t>Number of PRN Psychotropic Medications tracked this month</t>
  </si>
  <si>
    <t>No possible AC noted</t>
  </si>
  <si>
    <t>1 possible AC noted</t>
  </si>
  <si>
    <t>2 possible AC noted</t>
  </si>
  <si>
    <t>3 possible AC noted</t>
  </si>
  <si>
    <t>4+ possible AC noted</t>
  </si>
  <si>
    <t>PRN Medications</t>
  </si>
  <si>
    <t>Individuals</t>
  </si>
  <si>
    <t>GDRs completed this month or still in progress at end of month</t>
  </si>
  <si>
    <t>GDR in progress</t>
  </si>
  <si>
    <t>GDRs</t>
  </si>
  <si>
    <t>Rationale for contraindication documented</t>
  </si>
  <si>
    <t>Rationale not documented</t>
  </si>
  <si>
    <t>Contraindications</t>
  </si>
  <si>
    <t>Residents</t>
  </si>
  <si>
    <t>Residents with at least 1 PTM order</t>
  </si>
  <si>
    <t>Vascular</t>
  </si>
  <si>
    <t>Lewy Bodies</t>
  </si>
  <si>
    <t>Mixed</t>
  </si>
  <si>
    <t>Alzheimer's</t>
  </si>
  <si>
    <t>Other MH Diagnosis</t>
  </si>
  <si>
    <t>Individuals on Psychotropic Medication</t>
  </si>
  <si>
    <t>Not receiving PTM</t>
  </si>
  <si>
    <t>Receiving PTM</t>
  </si>
  <si>
    <t>Dementia diagnosis</t>
  </si>
  <si>
    <t>Mental health diagnosis</t>
  </si>
  <si>
    <t>Individuals
receiving PTM</t>
  </si>
  <si>
    <t>One current PTM order</t>
  </si>
  <si>
    <t>More than one PTM order</t>
  </si>
  <si>
    <t>HIDE</t>
  </si>
  <si>
    <t>Psychotherapeutic And Neurological Agents</t>
  </si>
  <si>
    <t>PleasantLastUpdated</t>
  </si>
  <si>
    <t>Pleasant0</t>
  </si>
  <si>
    <t>Click "My Residents" to start entering data.</t>
  </si>
  <si>
    <t>None updated</t>
  </si>
  <si>
    <t>Number of Medications for which this Symptom is Indicated</t>
  </si>
  <si>
    <t>Total*</t>
  </si>
  <si>
    <t>*The number of target symptoms may not equal the number of medications.</t>
  </si>
  <si>
    <t>Welcome</t>
  </si>
  <si>
    <t>MHNone</t>
  </si>
  <si>
    <t>All Psychotropic Medications*</t>
  </si>
  <si>
    <t>*Provides the rate for all psychotropic medications combined. Subsequent categories provide rates for each type of psychotropic medication.</t>
  </si>
  <si>
    <t>***ExpApproachesUpdated</t>
  </si>
  <si>
    <t>***ExpCheckboxesUpdated</t>
  </si>
  <si>
    <r>
      <t xml:space="preserve">Number of individuals </t>
    </r>
    <r>
      <rPr>
        <b/>
        <sz val="11"/>
        <color theme="1"/>
        <rFont val="Calibri"/>
        <family val="2"/>
        <scheme val="minor"/>
      </rPr>
      <t>living with dementia</t>
    </r>
    <r>
      <rPr>
        <sz val="11"/>
        <color theme="1"/>
        <rFont val="Calibri"/>
        <family val="2"/>
        <scheme val="minor"/>
      </rPr>
      <t xml:space="preserve">
</t>
    </r>
    <r>
      <rPr>
        <i/>
        <sz val="11"/>
        <color theme="1"/>
        <rFont val="Calibri"/>
        <family val="2"/>
        <scheme val="minor"/>
      </rPr>
      <t>without mental health diagnosis</t>
    </r>
  </si>
  <si>
    <r>
      <t xml:space="preserve">Number of individuals with </t>
    </r>
    <r>
      <rPr>
        <b/>
        <sz val="11"/>
        <color theme="1"/>
        <rFont val="Calibri"/>
        <family val="2"/>
        <scheme val="minor"/>
      </rPr>
      <t>mental health diagnosis</t>
    </r>
    <r>
      <rPr>
        <sz val="11"/>
        <color theme="1"/>
        <rFont val="Calibri"/>
        <family val="2"/>
        <scheme val="minor"/>
      </rPr>
      <t xml:space="preserve">
</t>
    </r>
    <r>
      <rPr>
        <i/>
        <sz val="11"/>
        <color theme="1"/>
        <rFont val="Calibri"/>
        <family val="2"/>
        <scheme val="minor"/>
      </rPr>
      <t>without dementia diagnosis</t>
    </r>
  </si>
  <si>
    <r>
      <t xml:space="preserve">Number of individuals </t>
    </r>
    <r>
      <rPr>
        <b/>
        <sz val="11"/>
        <color theme="1"/>
        <rFont val="Calibri"/>
        <family val="2"/>
        <scheme val="minor"/>
      </rPr>
      <t xml:space="preserve">living with dementia </t>
    </r>
    <r>
      <rPr>
        <sz val="11"/>
        <color theme="1"/>
        <rFont val="Calibri"/>
        <family val="2"/>
        <scheme val="minor"/>
      </rPr>
      <t xml:space="preserve">AND a </t>
    </r>
    <r>
      <rPr>
        <b/>
        <sz val="11"/>
        <color theme="1"/>
        <rFont val="Calibri"/>
        <family val="2"/>
        <scheme val="minor"/>
      </rPr>
      <t>mental health diagnosis</t>
    </r>
  </si>
  <si>
    <t>Number of psychotropic medication orders active as of the end of this month</t>
  </si>
  <si>
    <r>
      <t xml:space="preserve">Percent of individuals </t>
    </r>
    <r>
      <rPr>
        <b/>
        <sz val="11"/>
        <color theme="1"/>
        <rFont val="Calibri"/>
        <family val="2"/>
        <scheme val="minor"/>
      </rPr>
      <t xml:space="preserve">living with dementia </t>
    </r>
    <r>
      <rPr>
        <sz val="11"/>
        <color theme="1"/>
        <rFont val="Calibri"/>
        <family val="2"/>
        <scheme val="minor"/>
      </rPr>
      <t xml:space="preserve">with </t>
    </r>
    <r>
      <rPr>
        <b/>
        <sz val="11"/>
        <color theme="1"/>
        <rFont val="Calibri"/>
        <family val="2"/>
        <scheme val="minor"/>
      </rPr>
      <t xml:space="preserve">no psychotropic medication </t>
    </r>
    <r>
      <rPr>
        <sz val="11"/>
        <color theme="1"/>
        <rFont val="Calibri"/>
        <family val="2"/>
        <scheme val="minor"/>
      </rPr>
      <t>orders</t>
    </r>
  </si>
  <si>
    <r>
      <t xml:space="preserve">Number of </t>
    </r>
    <r>
      <rPr>
        <b/>
        <sz val="11"/>
        <color theme="1"/>
        <rFont val="Calibri"/>
        <family val="2"/>
        <scheme val="minor"/>
      </rPr>
      <t xml:space="preserve">PRN antipsychotic </t>
    </r>
    <r>
      <rPr>
        <sz val="11"/>
        <color theme="1"/>
        <rFont val="Calibri"/>
        <family val="2"/>
        <scheme val="minor"/>
      </rPr>
      <t>medication orders active at any time during month</t>
    </r>
  </si>
  <si>
    <r>
      <t xml:space="preserve">Percent of individuals receiving psychotropic medication who have </t>
    </r>
    <r>
      <rPr>
        <b/>
        <sz val="11"/>
        <color theme="1"/>
        <rFont val="Calibri"/>
        <family val="2"/>
        <scheme val="minor"/>
      </rPr>
      <t xml:space="preserve">multiple psychotropic </t>
    </r>
    <r>
      <rPr>
        <sz val="11"/>
        <color theme="1"/>
        <rFont val="Calibri"/>
        <family val="2"/>
        <scheme val="minor"/>
      </rPr>
      <t>medication orders</t>
    </r>
  </si>
  <si>
    <r>
      <t xml:space="preserve">Percent of psychotropic medication orders for which </t>
    </r>
    <r>
      <rPr>
        <b/>
        <sz val="11"/>
        <color theme="1"/>
        <rFont val="Calibri"/>
        <family val="2"/>
        <scheme val="minor"/>
      </rPr>
      <t>GDR
requirements are current**</t>
    </r>
  </si>
  <si>
    <r>
      <t xml:space="preserve">Percent of individuals admitted this month for whom </t>
    </r>
    <r>
      <rPr>
        <b/>
        <sz val="11"/>
        <color theme="1"/>
        <rFont val="Calibri"/>
        <family val="2"/>
        <scheme val="minor"/>
      </rPr>
      <t xml:space="preserve">structured medication reconciliation </t>
    </r>
    <r>
      <rPr>
        <sz val="11"/>
        <color theme="1"/>
        <rFont val="Calibri"/>
        <family val="2"/>
        <scheme val="minor"/>
      </rPr>
      <t>is noted as complete</t>
    </r>
  </si>
  <si>
    <r>
      <t xml:space="preserve">Percent of individuals for whom signs of distress / </t>
    </r>
    <r>
      <rPr>
        <b/>
        <sz val="11"/>
        <color theme="1"/>
        <rFont val="Calibri"/>
        <family val="2"/>
        <scheme val="minor"/>
      </rPr>
      <t xml:space="preserve">expressions </t>
    </r>
    <r>
      <rPr>
        <sz val="11"/>
        <color theme="1"/>
        <rFont val="Calibri"/>
        <family val="2"/>
        <scheme val="minor"/>
      </rPr>
      <t>of unmet need have been recorded*</t>
    </r>
  </si>
  <si>
    <r>
      <t xml:space="preserve">Percent of individuals for whom signs of distress / </t>
    </r>
    <r>
      <rPr>
        <b/>
        <sz val="11"/>
        <color theme="1"/>
        <rFont val="Calibri"/>
        <family val="2"/>
        <scheme val="minor"/>
      </rPr>
      <t xml:space="preserve">expressions </t>
    </r>
    <r>
      <rPr>
        <sz val="11"/>
        <color theme="1"/>
        <rFont val="Calibri"/>
        <family val="2"/>
        <scheme val="minor"/>
      </rPr>
      <t xml:space="preserve">of unmet need AND </t>
    </r>
    <r>
      <rPr>
        <b/>
        <sz val="11"/>
        <color theme="1"/>
        <rFont val="Calibri"/>
        <family val="2"/>
        <scheme val="minor"/>
      </rPr>
      <t xml:space="preserve">approaches </t>
    </r>
    <r>
      <rPr>
        <sz val="11"/>
        <color theme="1"/>
        <rFont val="Calibri"/>
        <family val="2"/>
        <scheme val="minor"/>
      </rPr>
      <t>to address those have been recorded*</t>
    </r>
  </si>
  <si>
    <r>
      <t xml:space="preserve">Percent of individuals for whom 4 or more </t>
    </r>
    <r>
      <rPr>
        <b/>
        <sz val="11"/>
        <color theme="1"/>
        <rFont val="Calibri"/>
        <family val="2"/>
        <scheme val="minor"/>
      </rPr>
      <t xml:space="preserve">pleasant moments/meaningful activities </t>
    </r>
    <r>
      <rPr>
        <sz val="11"/>
        <color theme="1"/>
        <rFont val="Calibri"/>
        <family val="2"/>
        <scheme val="minor"/>
      </rPr>
      <t>have been recorded*</t>
    </r>
  </si>
  <si>
    <t>*Update or confirm information in your workbook each month to have it counted.</t>
  </si>
  <si>
    <t>**Follow the timing guidelines on the Psychotropic Medication tab in your workbook to indicate that either a gradual dose reduction was attempted or contraindicated.</t>
  </si>
  <si>
    <t>For Long-Stay --&gt;</t>
  </si>
  <si>
    <t xml:space="preserve">For Post-Acute --&gt;   </t>
  </si>
  <si>
    <t>Denominators</t>
  </si>
  <si>
    <t>Individualizing Care Numerators</t>
  </si>
  <si>
    <t>Psychotropic Medications Numerators</t>
  </si>
  <si>
    <r>
      <t xml:space="preserve">Number of individuals for whom signs of distress / </t>
    </r>
    <r>
      <rPr>
        <b/>
        <sz val="11"/>
        <color theme="1"/>
        <rFont val="Calibri"/>
        <family val="2"/>
        <scheme val="minor"/>
      </rPr>
      <t xml:space="preserve">expressions </t>
    </r>
    <r>
      <rPr>
        <sz val="11"/>
        <color theme="1"/>
        <rFont val="Calibri"/>
        <family val="2"/>
        <scheme val="minor"/>
      </rPr>
      <t>of unmet need have been recorded*</t>
    </r>
  </si>
  <si>
    <r>
      <t xml:space="preserve">Number of individuals for whom signs of distress / </t>
    </r>
    <r>
      <rPr>
        <b/>
        <sz val="11"/>
        <color theme="1"/>
        <rFont val="Calibri"/>
        <family val="2"/>
        <scheme val="minor"/>
      </rPr>
      <t xml:space="preserve">expressions </t>
    </r>
    <r>
      <rPr>
        <sz val="11"/>
        <color theme="1"/>
        <rFont val="Calibri"/>
        <family val="2"/>
        <scheme val="minor"/>
      </rPr>
      <t xml:space="preserve">of unmet need AND </t>
    </r>
    <r>
      <rPr>
        <b/>
        <sz val="11"/>
        <color theme="1"/>
        <rFont val="Calibri"/>
        <family val="2"/>
        <scheme val="minor"/>
      </rPr>
      <t xml:space="preserve">approaches </t>
    </r>
    <r>
      <rPr>
        <sz val="11"/>
        <color theme="1"/>
        <rFont val="Calibri"/>
        <family val="2"/>
        <scheme val="minor"/>
      </rPr>
      <t>to address those have been recorded*</t>
    </r>
  </si>
  <si>
    <t>Number of individuals tracked this month for whom 4 or more pleasant moments/meaningful activities have been recorded*</t>
  </si>
  <si>
    <r>
      <t xml:space="preserve">Number of individuals </t>
    </r>
    <r>
      <rPr>
        <b/>
        <sz val="11"/>
        <color theme="1"/>
        <rFont val="Calibri"/>
        <family val="2"/>
        <scheme val="minor"/>
      </rPr>
      <t xml:space="preserve">living with dementia </t>
    </r>
    <r>
      <rPr>
        <sz val="11"/>
        <color theme="1"/>
        <rFont val="Calibri"/>
        <family val="2"/>
        <scheme val="minor"/>
      </rPr>
      <t xml:space="preserve">with </t>
    </r>
    <r>
      <rPr>
        <b/>
        <sz val="11"/>
        <color theme="1"/>
        <rFont val="Calibri"/>
        <family val="2"/>
        <scheme val="minor"/>
      </rPr>
      <t xml:space="preserve">no psychotropic medication </t>
    </r>
    <r>
      <rPr>
        <sz val="11"/>
        <color theme="1"/>
        <rFont val="Calibri"/>
        <family val="2"/>
        <scheme val="minor"/>
      </rPr>
      <t>orders</t>
    </r>
  </si>
  <si>
    <r>
      <t xml:space="preserve">Number of individuals receiving </t>
    </r>
    <r>
      <rPr>
        <b/>
        <sz val="11"/>
        <color theme="1"/>
        <rFont val="Calibri"/>
        <family val="2"/>
        <scheme val="minor"/>
      </rPr>
      <t xml:space="preserve">multiple psychotropic </t>
    </r>
    <r>
      <rPr>
        <sz val="11"/>
        <color theme="1"/>
        <rFont val="Calibri"/>
        <family val="2"/>
        <scheme val="minor"/>
      </rPr>
      <t>medication orders</t>
    </r>
  </si>
  <si>
    <r>
      <t xml:space="preserve">Number of psychotropic medication orders for which </t>
    </r>
    <r>
      <rPr>
        <b/>
        <sz val="11"/>
        <color theme="1"/>
        <rFont val="Calibri"/>
        <family val="2"/>
        <scheme val="minor"/>
      </rPr>
      <t>GDR requirements are current</t>
    </r>
    <r>
      <rPr>
        <sz val="11"/>
        <color theme="1"/>
        <rFont val="Calibri"/>
        <family val="2"/>
        <scheme val="minor"/>
      </rPr>
      <t>**</t>
    </r>
  </si>
  <si>
    <r>
      <t xml:space="preserve">Number of individuals admitted this month for whom </t>
    </r>
    <r>
      <rPr>
        <b/>
        <sz val="11"/>
        <color theme="1"/>
        <rFont val="Calibri"/>
        <family val="2"/>
        <scheme val="minor"/>
      </rPr>
      <t xml:space="preserve">structured medication reconciliation </t>
    </r>
    <r>
      <rPr>
        <sz val="11"/>
        <color theme="1"/>
        <rFont val="Calibri"/>
        <family val="2"/>
        <scheme val="minor"/>
      </rPr>
      <t>is noted as complete</t>
    </r>
  </si>
  <si>
    <t>Sign in with your username and password.</t>
  </si>
  <si>
    <t>Numerators and Denominators</t>
  </si>
  <si>
    <t>NOT for Website Entry</t>
  </si>
  <si>
    <t>Medications tracked this month</t>
  </si>
  <si>
    <t>No Target Symptom Specified</t>
  </si>
  <si>
    <t>At Least One Target Symptom</t>
  </si>
  <si>
    <t>Preferences &amp; Joys</t>
  </si>
  <si>
    <t>Psychotropic Medication (PTM) Orders by Diagnosis</t>
  </si>
  <si>
    <t>Multiple Psychotropic Medications (PTM) among those receiving PTM</t>
  </si>
  <si>
    <t>Psychotropic Medications (PTM) with At Least One Target Symptom Specified</t>
  </si>
  <si>
    <t>Top 10 Target Symptoms for Prescribing Psychotropic Medications for Individuals Living with Dementia</t>
  </si>
  <si>
    <t>Informed Choice</t>
  </si>
  <si>
    <t>Documentation &amp; Process Completion</t>
  </si>
  <si>
    <t>Strengths and Dislikes</t>
  </si>
  <si>
    <t>PRN Orders by Category of Psychotropic Medication</t>
  </si>
  <si>
    <t>Possible Adverse Consequences (AC) among Individuals on Psychotropic Medication</t>
  </si>
  <si>
    <t>Gradual Dose Reduction (GDR) Outcomes among GDRs Completed This Month or Still In Progress</t>
  </si>
  <si>
    <t>Documentation with GDR is Contraindicated</t>
  </si>
  <si>
    <t>Residents on Psychotropic Medication (PTM) by Diagnosis Type</t>
  </si>
  <si>
    <t>Residents on Psychotropic Medication Living with Dementia</t>
  </si>
  <si>
    <t>Residents on Psychotropic Medication with Mental Health Diagnosis</t>
  </si>
  <si>
    <t>Directory</t>
  </si>
  <si>
    <t>Dementia &amp; Mental Health (MH) Diagnoses</t>
  </si>
  <si>
    <t>Process Completed</t>
  </si>
  <si>
    <t>Number of Psychotropic
Medication Orders</t>
  </si>
  <si>
    <t>Psychotropic Medication Orders</t>
  </si>
  <si>
    <t>Target Symptoms</t>
  </si>
  <si>
    <t>Diagnosis Documentation and Process</t>
  </si>
  <si>
    <t>Psychotropic Medication Category</t>
  </si>
  <si>
    <t>Number of Adverse Consequences</t>
  </si>
  <si>
    <t>GDR Outcome</t>
  </si>
  <si>
    <t>Contraindication Documented</t>
  </si>
  <si>
    <t>Diagnosis Type</t>
  </si>
  <si>
    <t>vCustom1</t>
  </si>
  <si>
    <t>vCustom2</t>
  </si>
  <si>
    <t>Aamxgxd Bxorqxtzdavaoj</t>
  </si>
  <si>
    <t>***IsActiveToday</t>
  </si>
  <si>
    <t>vResidentSearchText</t>
  </si>
  <si>
    <t>vResidentSearchOn</t>
  </si>
  <si>
    <t>***IsSearchMatch</t>
  </si>
  <si>
    <t>***MedIsSearchMatch</t>
  </si>
  <si>
    <t>vMedicationSearchOn</t>
  </si>
  <si>
    <t>vMedicationSearchText</t>
  </si>
  <si>
    <r>
      <rPr>
        <b/>
        <sz val="13"/>
        <color rgb="FF993300"/>
        <rFont val="Arial"/>
        <family val="2"/>
      </rPr>
      <t>Dementia Care &amp; Psychotropic Medications Tracking Tool version 1.3</t>
    </r>
    <r>
      <rPr>
        <sz val="12"/>
        <color theme="1"/>
        <rFont val="Arial"/>
        <family val="2"/>
      </rPr>
      <t xml:space="preserve">
May 16, 2019
</t>
    </r>
    <r>
      <rPr>
        <sz val="12"/>
        <color rgb="FF004A86"/>
        <rFont val="Arial"/>
        <family val="2"/>
      </rPr>
      <t>Use this tool to create easy-reference information for each individual's comfort, pleasant moments and meaningful activity preferences. Document necessary steps for appropriate use of psychotropic medications, and track efficacy, side effects and timely GDR attempts. Charts and graphs are available in the Reports tab. Transfer Monthly Outcomes to the Campaign website for a continuous trend to monitor your efforts.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</si>
</sst>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
  </numFmts>
  <fonts count="32">
    <font>
      <sz val="11"/>
      <color theme="1"/>
      <name val="Calibri"/>
      <family val="2"/>
      <scheme val="minor"/>
    </font>
    <font>
      <sz val="10"/>
      <name val="Arial"/>
      <family val="2"/>
    </font>
    <font>
      <u val="single"/>
      <sz val="10"/>
      <color indexed="12"/>
      <name val="Arial"/>
      <family val="2"/>
    </font>
    <font>
      <b/>
      <sz val="11"/>
      <color rgb="FFDA0000"/>
      <name val="Arial"/>
      <family val="2"/>
    </font>
    <font>
      <sz val="8"/>
      <color theme="1"/>
      <name val="Arial"/>
      <family val="2"/>
    </font>
    <font>
      <b/>
      <sz val="14"/>
      <color theme="1"/>
      <name val="Calibri"/>
      <family val="2"/>
      <scheme val="minor"/>
    </font>
    <font>
      <b/>
      <sz val="11"/>
      <color theme="1"/>
      <name val="Calibri"/>
      <family val="2"/>
      <scheme val="minor"/>
    </font>
    <font>
      <b/>
      <sz val="18"/>
      <color theme="1"/>
      <name val="Calibri"/>
      <family val="2"/>
      <scheme val="minor"/>
    </font>
    <font>
      <sz val="11"/>
      <color theme="1"/>
      <name val="Calibri"/>
      <family val="2"/>
    </font>
    <font>
      <sz val="8"/>
      <name val="Tahoma"/>
      <family val="2"/>
    </font>
    <font>
      <b/>
      <sz val="8"/>
      <name val="Tahoma"/>
      <family val="2"/>
    </font>
    <font>
      <i/>
      <sz val="11"/>
      <color theme="1"/>
      <name val="Calibri"/>
      <family val="2"/>
      <scheme val="minor"/>
    </font>
    <font>
      <sz val="12"/>
      <color rgb="FF004A86"/>
      <name val="Arial"/>
      <family val="2"/>
    </font>
    <font>
      <sz val="11"/>
      <color rgb="FFC00000"/>
      <name val="Calibri"/>
      <family val="2"/>
      <scheme val="minor"/>
    </font>
    <font>
      <b/>
      <sz val="13"/>
      <color rgb="FF993300"/>
      <name val="Arial"/>
      <family val="2"/>
    </font>
    <font>
      <sz val="11"/>
      <color rgb="FF993300"/>
      <name val="Arial"/>
      <family val="2"/>
    </font>
    <font>
      <sz val="12"/>
      <color theme="1"/>
      <name val="Arial"/>
      <family val="2"/>
    </font>
    <font>
      <sz val="20"/>
      <color theme="0"/>
      <name val="Arial"/>
      <family val="2"/>
    </font>
    <font>
      <sz val="26"/>
      <color theme="0"/>
      <name val="Arial"/>
      <family val="2"/>
    </font>
    <font>
      <sz val="10"/>
      <name val="Calibri"/>
      <family val="2"/>
      <scheme val="minor"/>
    </font>
    <font>
      <b/>
      <sz val="12"/>
      <color theme="1"/>
      <name val="Calibri"/>
      <family val="2"/>
      <scheme val="minor"/>
    </font>
    <font>
      <b/>
      <sz val="16"/>
      <color theme="1"/>
      <name val="Calibri"/>
      <family val="2"/>
      <scheme val="minor"/>
    </font>
    <font>
      <u val="single"/>
      <sz val="11"/>
      <color theme="10"/>
      <name val="Calibri"/>
      <family val="2"/>
      <scheme val="minor"/>
    </font>
    <font>
      <sz val="11"/>
      <color rgb="FF000000"/>
      <name val="Calibri"/>
      <family val="2"/>
    </font>
    <font>
      <sz val="12"/>
      <color theme="1" tint="0.35"/>
      <name val="Calibri"/>
      <family val="2"/>
    </font>
    <font>
      <sz val="11"/>
      <color theme="1" tint="0.25"/>
      <name val="Calibri"/>
      <family val="2"/>
    </font>
    <font>
      <sz val="11"/>
      <color theme="1" tint="0.35"/>
      <name val="Calibri"/>
      <family val="2"/>
    </font>
    <font>
      <sz val="11"/>
      <color theme="1" tint="0.35"/>
      <name val="+mn-cs"/>
      <family val="2"/>
    </font>
    <font>
      <sz val="10"/>
      <color theme="1" tint="0.25"/>
      <name val="Calibri"/>
      <family val="2"/>
    </font>
    <font>
      <sz val="10"/>
      <color theme="1" tint="0.35"/>
      <name val="+mn-cs"/>
      <family val="2"/>
    </font>
    <font>
      <sz val="11"/>
      <name val="Calibri"/>
      <family val="2"/>
    </font>
    <font>
      <b/>
      <sz val="8"/>
      <name val="Calibri"/>
      <family val="2"/>
    </font>
  </fonts>
  <fills count="13">
    <fill>
      <patternFill/>
    </fill>
    <fill>
      <patternFill patternType="gray125"/>
    </fill>
    <fill>
      <patternFill patternType="solid">
        <fgColor theme="0" tint="-0.24997000396251678"/>
        <bgColor indexed="64"/>
      </patternFill>
    </fill>
    <fill>
      <patternFill patternType="solid">
        <fgColor theme="8" tint="0.39998000860214233"/>
        <bgColor indexed="64"/>
      </patternFill>
    </fill>
    <fill>
      <patternFill patternType="solid">
        <fgColor rgb="FFFFCCCC"/>
        <bgColor indexed="64"/>
      </patternFill>
    </fill>
    <fill>
      <patternFill patternType="solid">
        <fgColor rgb="FFFFFF00"/>
        <bgColor indexed="64"/>
      </patternFill>
    </fill>
    <fill>
      <patternFill patternType="solid">
        <fgColor rgb="FFFFCC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rgb="FF66A5D4"/>
        <bgColor indexed="64"/>
      </patternFill>
    </fill>
    <fill>
      <patternFill patternType="solid">
        <fgColor theme="0" tint="-0.04997999966144562"/>
        <bgColor indexed="64"/>
      </patternFill>
    </fill>
    <fill>
      <patternFill patternType="solid">
        <fgColor theme="0" tint="-0.3499799966812134"/>
        <bgColor indexed="64"/>
      </patternFill>
    </fill>
  </fills>
  <borders count="11">
    <border>
      <left/>
      <right/>
      <top/>
      <bottom/>
      <diagonal/>
    </border>
    <border>
      <left style="thin"/>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style="thin"/>
      <right/>
      <top style="thin"/>
      <bottom style="thin"/>
    </border>
    <border>
      <left/>
      <right/>
      <top style="thin"/>
      <bottom style="thin"/>
    </border>
    <border>
      <left/>
      <right style="thin"/>
      <top style="thin"/>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22" fillId="0" borderId="0" applyNumberFormat="0" applyFill="0" applyBorder="0" applyAlignment="0" applyProtection="0"/>
  </cellStyleXfs>
  <cellXfs count="89">
    <xf numFmtId="0" fontId="0" fillId="0" borderId="0" xfId="0"/>
    <xf numFmtId="14" fontId="0" fillId="0" borderId="0" xfId="0" applyNumberFormat="1"/>
    <xf numFmtId="164" fontId="0" fillId="0" borderId="0" xfId="0" applyNumberFormat="1"/>
    <xf numFmtId="0" fontId="8" fillId="0" borderId="0" xfId="0" applyFont="1" applyAlignment="1">
      <alignment horizontal="right" vertical="top"/>
    </xf>
    <xf numFmtId="0" fontId="0" fillId="0" borderId="0" xfId="0" applyAlignment="1">
      <alignment wrapText="1"/>
    </xf>
    <xf numFmtId="0" fontId="8" fillId="2" borderId="0" xfId="0" applyFont="1" applyFill="1" applyAlignment="1">
      <alignment horizontal="right" vertical="top"/>
    </xf>
    <xf numFmtId="0" fontId="0" fillId="2" borderId="0" xfId="0" applyFill="1" applyAlignment="1">
      <alignment wrapText="1"/>
    </xf>
    <xf numFmtId="0" fontId="0" fillId="2" borderId="0" xfId="0" applyFill="1"/>
    <xf numFmtId="0" fontId="0" fillId="3" borderId="0" xfId="0" applyFill="1"/>
    <xf numFmtId="14" fontId="0" fillId="3" borderId="0" xfId="0" applyNumberFormat="1" applyFill="1"/>
    <xf numFmtId="9" fontId="0" fillId="0" borderId="0" xfId="15" applyFont="1"/>
    <xf numFmtId="0" fontId="0" fillId="0" borderId="0" xfId="15" applyNumberFormat="1" applyFont="1"/>
    <xf numFmtId="0" fontId="0" fillId="0" borderId="0" xfId="0" applyAlignment="1">
      <alignment horizontal="center"/>
    </xf>
    <xf numFmtId="0" fontId="0" fillId="0" borderId="0" xfId="0" applyAlignment="1">
      <alignment vertical="center"/>
    </xf>
    <xf numFmtId="0" fontId="0" fillId="4" borderId="0" xfId="0" applyFill="1" applyAlignment="1">
      <alignment vertical="center"/>
    </xf>
    <xf numFmtId="0" fontId="0" fillId="0" borderId="0" xfId="0" applyAlignment="1">
      <alignment horizontal="center" wrapText="1"/>
    </xf>
    <xf numFmtId="0" fontId="0" fillId="2" borderId="0" xfId="0" applyFill="1" applyAlignment="1">
      <alignment horizontal="center" wrapText="1"/>
    </xf>
    <xf numFmtId="0" fontId="0" fillId="0" borderId="1" xfId="0" applyBorder="1" applyAlignment="1">
      <alignment horizontal="center" vertical="center"/>
    </xf>
    <xf numFmtId="0" fontId="0" fillId="4" borderId="1" xfId="0" applyFill="1" applyBorder="1" applyAlignment="1">
      <alignment horizontal="center" vertical="center"/>
    </xf>
    <xf numFmtId="0" fontId="6" fillId="0" borderId="0" xfId="0" applyFont="1" applyAlignment="1">
      <alignment horizontal="center"/>
    </xf>
    <xf numFmtId="0" fontId="0" fillId="0" borderId="0" xfId="0" applyAlignment="1">
      <alignment vertical="top" wrapText="1"/>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164" fontId="0" fillId="5" borderId="1" xfId="0" applyNumberFormat="1" applyFill="1" applyBorder="1" applyAlignment="1" applyProtection="1">
      <alignment horizontal="center"/>
      <protection locked="0"/>
    </xf>
    <xf numFmtId="0" fontId="0" fillId="2" borderId="0" xfId="0" applyFill="1" applyAlignment="1">
      <alignment horizontal="right"/>
    </xf>
    <xf numFmtId="9" fontId="0" fillId="0" borderId="1" xfId="15"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0" fillId="0" borderId="0" xfId="0" applyAlignment="1">
      <alignment vertical="top"/>
    </xf>
    <xf numFmtId="9" fontId="0" fillId="0" borderId="0" xfId="15" applyFont="1" applyAlignment="1">
      <alignment vertical="top"/>
    </xf>
    <xf numFmtId="0" fontId="6" fillId="0" borderId="1" xfId="0" applyFont="1" applyBorder="1"/>
    <xf numFmtId="0" fontId="6" fillId="0" borderId="1" xfId="0" applyFont="1" applyBorder="1" applyAlignment="1">
      <alignment horizontal="center" wrapText="1"/>
    </xf>
    <xf numFmtId="0" fontId="0" fillId="6" borderId="0" xfId="0" applyFill="1"/>
    <xf numFmtId="0" fontId="4" fillId="0" borderId="0" xfId="0" applyFont="1" applyAlignment="1">
      <alignment horizontal="left" wrapText="1" indent="22"/>
    </xf>
    <xf numFmtId="0" fontId="6" fillId="0" borderId="0" xfId="0" applyFont="1"/>
    <xf numFmtId="0" fontId="0" fillId="0" borderId="1" xfId="0" applyBorder="1" applyAlignment="1">
      <alignment wrapText="1"/>
    </xf>
    <xf numFmtId="0" fontId="0" fillId="7" borderId="0" xfId="0" applyFill="1" applyAlignment="1">
      <alignment horizontal="center"/>
    </xf>
    <xf numFmtId="0" fontId="0" fillId="8" borderId="0" xfId="0" applyFill="1"/>
    <xf numFmtId="0" fontId="8" fillId="0" borderId="0" xfId="0" applyFont="1" applyAlignment="1">
      <alignment horizontal="right" vertical="center"/>
    </xf>
    <xf numFmtId="0" fontId="6" fillId="0" borderId="1" xfId="0" applyFont="1" applyBorder="1" applyAlignment="1">
      <alignment horizontal="center"/>
    </xf>
    <xf numFmtId="0" fontId="0" fillId="2" borderId="1" xfId="0" applyFill="1" applyBorder="1" applyAlignment="1">
      <alignment wrapText="1"/>
    </xf>
    <xf numFmtId="0" fontId="0" fillId="0" borderId="0" xfId="0" applyAlignment="1">
      <alignment horizontal="right"/>
    </xf>
    <xf numFmtId="164" fontId="0" fillId="5" borderId="1" xfId="0" applyNumberFormat="1" applyFill="1" applyBorder="1"/>
    <xf numFmtId="165" fontId="0" fillId="0" borderId="1" xfId="15" applyNumberFormat="1" applyFont="1" applyBorder="1" applyAlignment="1">
      <alignment horizontal="center" vertical="center"/>
    </xf>
    <xf numFmtId="165" fontId="0" fillId="4" borderId="1" xfId="0" applyNumberFormat="1" applyFill="1" applyBorder="1" applyAlignment="1">
      <alignment horizontal="center" vertical="center"/>
    </xf>
    <xf numFmtId="165" fontId="0" fillId="9" borderId="1" xfId="15" applyNumberFormat="1" applyFont="1" applyFill="1" applyBorder="1" applyAlignment="1">
      <alignment horizontal="center" vertical="center"/>
    </xf>
    <xf numFmtId="0" fontId="0" fillId="9" borderId="1" xfId="0" applyFill="1" applyBorder="1" applyAlignment="1">
      <alignment horizontal="center" vertical="center"/>
    </xf>
    <xf numFmtId="0" fontId="20" fillId="0" borderId="0" xfId="0" applyFont="1"/>
    <xf numFmtId="0" fontId="0" fillId="0" borderId="0" xfId="0" applyAlignment="1">
      <alignment horizontal="left" vertical="top"/>
    </xf>
    <xf numFmtId="0" fontId="6" fillId="0" borderId="1" xfId="0" applyFont="1" applyBorder="1" applyAlignment="1">
      <alignment wrapText="1"/>
    </xf>
    <xf numFmtId="0" fontId="0" fillId="0" borderId="0" xfId="0"/>
    <xf numFmtId="0" fontId="0" fillId="0" borderId="0" xfId="0"/>
    <xf numFmtId="0" fontId="0" fillId="0" borderId="0" xfId="0"/>
    <xf numFmtId="0" fontId="0" fillId="0" borderId="0" xfId="0" applyNumberFormat="1"/>
    <xf numFmtId="0" fontId="18" fillId="10" borderId="0" xfId="0" applyFont="1" applyFill="1" applyAlignment="1">
      <alignment horizontal="center" vertical="center"/>
    </xf>
    <xf numFmtId="0" fontId="16" fillId="0" borderId="0" xfId="0" applyFont="1" applyAlignment="1">
      <alignment horizontal="center" wrapText="1"/>
    </xf>
    <xf numFmtId="0" fontId="16"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2" fillId="0" borderId="0" xfId="0" applyFont="1" applyAlignment="1">
      <alignment horizontal="center"/>
    </xf>
    <xf numFmtId="0" fontId="17" fillId="10" borderId="0" xfId="0" applyFont="1" applyFill="1" applyAlignment="1">
      <alignment horizontal="center" vertical="center"/>
    </xf>
    <xf numFmtId="0" fontId="22" fillId="0" borderId="0" xfId="22" applyAlignment="1">
      <alignment horizontal="left" vertical="top" wrapText="1"/>
    </xf>
    <xf numFmtId="0" fontId="21" fillId="0" borderId="6" xfId="0" applyFont="1" applyBorder="1" applyAlignment="1">
      <alignment horizontal="left"/>
    </xf>
    <xf numFmtId="0" fontId="0" fillId="0" borderId="1" xfId="0" applyBorder="1"/>
    <xf numFmtId="0" fontId="0" fillId="0" borderId="0" xfId="0" applyAlignment="1">
      <alignment horizontal="left" wrapText="1"/>
    </xf>
    <xf numFmtId="0" fontId="6" fillId="0" borderId="1" xfId="0" applyFont="1" applyBorder="1" applyAlignment="1">
      <alignment horizontal="left"/>
    </xf>
    <xf numFmtId="0" fontId="0" fillId="0" borderId="0" xfId="0" applyAlignment="1">
      <alignment horizontal="center"/>
    </xf>
    <xf numFmtId="0" fontId="6" fillId="0" borderId="0" xfId="0" applyFont="1" applyAlignment="1">
      <alignment horizont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0" xfId="0" applyFont="1" applyAlignment="1">
      <alignment horizontal="left" vertical="top"/>
    </xf>
    <xf numFmtId="0" fontId="19" fillId="0" borderId="0" xfId="0" applyFont="1" applyAlignment="1">
      <alignment horizontal="left" vertical="top" wrapText="1"/>
    </xf>
    <xf numFmtId="0" fontId="0" fillId="0" borderId="1" xfId="0" applyBorder="1" applyAlignment="1">
      <alignment vertical="center" wrapText="1"/>
    </xf>
    <xf numFmtId="0" fontId="0" fillId="4" borderId="1" xfId="0" applyFill="1" applyBorder="1" applyAlignment="1">
      <alignment vertical="center" wrapText="1"/>
    </xf>
    <xf numFmtId="0" fontId="0" fillId="0" borderId="0" xfId="0" applyAlignment="1">
      <alignment wrapText="1"/>
    </xf>
    <xf numFmtId="0" fontId="7" fillId="0" borderId="10" xfId="0" applyFont="1" applyBorder="1" applyAlignment="1">
      <alignment horizontal="center" vertical="center" wrapText="1"/>
    </xf>
    <xf numFmtId="0" fontId="0" fillId="0" borderId="0" xfId="0" applyAlignment="1">
      <alignment vertical="center" wrapText="1"/>
    </xf>
    <xf numFmtId="0" fontId="0" fillId="12" borderId="0" xfId="0" applyFill="1" applyAlignment="1">
      <alignment wrapText="1"/>
    </xf>
    <xf numFmtId="0" fontId="5" fillId="0" borderId="0" xfId="0" applyFont="1" applyAlignment="1">
      <alignment horizontal="center"/>
    </xf>
    <xf numFmtId="0" fontId="0" fillId="0" borderId="0" xfId="0"/>
  </cellXfs>
  <cellStyles count="9">
    <cellStyle name="Normal" xfId="0"/>
    <cellStyle name="Percent" xfId="15"/>
    <cellStyle name="Currency" xfId="16"/>
    <cellStyle name="Currency [0]" xfId="17"/>
    <cellStyle name="Comma" xfId="18"/>
    <cellStyle name="Comma [0]" xfId="19"/>
    <cellStyle name="Hyperlink 2" xfId="20"/>
    <cellStyle name="Normal 2"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Dementia &amp; Mental Health (MH) Diagnoses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0D068"/>
              </a:solidFill>
              <a:ln w="19050">
                <a:solidFill>
                  <a:schemeClr val="bg1"/>
                </a:solidFill>
              </a:ln>
            </c:spPr>
          </c:dPt>
          <c:dPt>
            <c:idx val="1"/>
            <c:spPr>
              <a:solidFill>
                <a:srgbClr val="13B5EA"/>
              </a:solidFill>
              <a:ln w="19050">
                <a:solidFill>
                  <a:schemeClr val="bg1"/>
                </a:solidFill>
              </a:ln>
            </c:spPr>
          </c:dPt>
          <c:dPt>
            <c:idx val="2"/>
            <c:spPr>
              <a:solidFill>
                <a:srgbClr val="B2DCF5"/>
              </a:solidFill>
              <a:ln w="19050">
                <a:solidFill>
                  <a:schemeClr val="bg1"/>
                </a:solidFill>
              </a:ln>
            </c:spPr>
          </c:dPt>
          <c:dPt>
            <c:idx val="3"/>
            <c:spPr>
              <a:solidFill>
                <a:srgbClr val="F8971D"/>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Reports!$A$32:$A$35</c:f>
            </c:strRef>
          </c:cat>
          <c:val>
            <c:numRef>
              <c:f>Reports!$C$32:$C$35</c:f>
            </c:numRef>
          </c:val>
        </c:ser>
      </c:pieChart>
      <c:spPr>
        <a:noFill/>
        <a:ln>
          <a:noFill/>
        </a:ln>
      </c:spPr>
    </c:plotArea>
    <c:legend>
      <c:legendPos val="r"/>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Gradual Dose Reduction (GDR) Outcomes</a:t>
            </a:r>
            <a:r>
              <a:rPr lang="en-US" cap="none" sz="1200" u="none" baseline="0">
                <a:latin typeface="Calibri"/>
                <a:ea typeface="Calibri"/>
                <a:cs typeface="Calibri"/>
              </a:rPr>
              <a:t>
among GDRs Completed This Month or Still In Progress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Reports!$I$310:$I$315</c:f>
              <c:strCache/>
            </c:strRef>
          </c:cat>
          <c:val>
            <c:numRef>
              <c:f>Reports!$E$294:$E$299</c:f>
            </c:numRef>
          </c:val>
        </c:ser>
        <c:overlap val="-27"/>
        <c:gapWidth val="219"/>
        <c:axId val="12913324"/>
        <c:axId val="49111053"/>
      </c:barChart>
      <c:catAx>
        <c:axId val="129133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9111053"/>
        <c:crosses val="autoZero"/>
        <c:auto val="1"/>
        <c:lblOffset val="100"/>
        <c:noMultiLvlLbl val="0"/>
      </c:catAx>
      <c:valAx>
        <c:axId val="4911105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2913324"/>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Documentation when GDR is Contraindicated</a:t>
            </a:r>
          </a:p>
        </c:rich>
      </c:tx>
      <c:layout/>
      <c:overlay val="0"/>
      <c:spPr>
        <a:noFill/>
        <a:ln>
          <a:noFill/>
        </a:ln>
      </c:spPr>
    </c:title>
    <c:plotArea>
      <c:layout/>
      <c:pieChart>
        <c:varyColors val="1"/>
        <c:ser>
          <c:idx val="0"/>
          <c:order val="0"/>
          <c:tx>
            <c:strRef>
              <c:f>Reports!$E$318:$E$319</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Reports!$I$333:$I$334</c:f>
              <c:strCache/>
            </c:strRef>
          </c:cat>
          <c:val>
            <c:numRef>
              <c:f>Reports!$E$318:$E$319</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Residents on Psychotropic Medication</a:t>
            </a:r>
            <a:r>
              <a:rPr lang="en-US" cap="none" sz="1200" u="none" baseline="0">
                <a:latin typeface="Calibri"/>
                <a:ea typeface="Calibri"/>
                <a:cs typeface="Calibri"/>
              </a:rPr>
              <a:t>
Living with Dementia</a:t>
            </a:r>
          </a:p>
        </c:rich>
      </c:tx>
      <c:layout/>
      <c:overlay val="0"/>
      <c:spPr>
        <a:noFill/>
        <a:ln>
          <a:noFill/>
        </a:ln>
      </c:spPr>
    </c:title>
    <c:plotArea>
      <c:layout/>
      <c:barChart>
        <c:barDir val="col"/>
        <c:grouping val="clustered"/>
        <c:varyColors val="0"/>
        <c:ser>
          <c:idx val="0"/>
          <c:order val="0"/>
          <c:tx>
            <c:strRef>
              <c:f>Reports!$F$360:$F$364</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Reports!$I$375:$I$379</c:f>
              <c:strCache/>
            </c:strRef>
          </c:cat>
          <c:val>
            <c:numRef>
              <c:f>Reports!$F$360:$F$364</c:f>
            </c:numRef>
          </c:val>
        </c:ser>
        <c:overlap val="-27"/>
        <c:gapWidth val="219"/>
        <c:axId val="39346294"/>
        <c:axId val="18572327"/>
      </c:barChart>
      <c:catAx>
        <c:axId val="3934629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8572327"/>
        <c:crosses val="autoZero"/>
        <c:auto val="1"/>
        <c:lblOffset val="100"/>
        <c:noMultiLvlLbl val="0"/>
      </c:catAx>
      <c:valAx>
        <c:axId val="1857232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9346294"/>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Individuals on Psychotropic Medication</a:t>
            </a:r>
            <a:r>
              <a:rPr lang="en-US" cap="none" sz="1200" u="none" baseline="0">
                <a:latin typeface="Calibri"/>
                <a:ea typeface="Calibri"/>
                <a:cs typeface="Calibri"/>
              </a:rPr>
              <a:t>
with Mental Health Diagnosis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Reports!$I$399:$I$407</c:f>
              <c:strCache/>
            </c:strRef>
          </c:cat>
          <c:val>
            <c:numRef>
              <c:f>Reports!$F$383:$F$391</c:f>
            </c:numRef>
          </c:val>
        </c:ser>
        <c:overlap val="-27"/>
        <c:gapWidth val="219"/>
        <c:axId val="32933216"/>
        <c:axId val="27963489"/>
      </c:barChart>
      <c:catAx>
        <c:axId val="3293321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7963489"/>
        <c:crosses val="autoZero"/>
        <c:auto val="1"/>
        <c:lblOffset val="100"/>
        <c:noMultiLvlLbl val="0"/>
      </c:catAx>
      <c:valAx>
        <c:axId val="2796348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2933216"/>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Residents on Psychotropic Medication (PTM)</a:t>
            </a:r>
            <a:r>
              <a:rPr lang="en-US" cap="none" sz="1200" u="none" baseline="0">
                <a:latin typeface="Calibri"/>
                <a:ea typeface="Calibri"/>
                <a:cs typeface="Calibri"/>
              </a:rPr>
              <a:t>
by Diagnosis Type</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Reports!$I$352:$I$355</c:f>
              <c:strCache/>
            </c:strRef>
          </c:cat>
          <c:val>
            <c:numRef>
              <c:f>Reports!$G$337:$G$340</c:f>
            </c:numRef>
          </c:val>
        </c:ser>
        <c:overlap val="-27"/>
        <c:gapWidth val="219"/>
        <c:axId val="50344810"/>
        <c:axId val="50450107"/>
      </c:barChart>
      <c:catAx>
        <c:axId val="503448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0450107"/>
        <c:crosses val="autoZero"/>
        <c:auto val="1"/>
        <c:lblOffset val="100"/>
        <c:noMultiLvlLbl val="0"/>
      </c:catAx>
      <c:valAx>
        <c:axId val="5045010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0344810"/>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
Multiple Psychotropic Medications (PTM)</a:t>
            </a:r>
            <a:r>
              <a:rPr lang="en-US" cap="none" sz="1200" u="none" baseline="0">
                <a:latin typeface="Calibri"/>
                <a:ea typeface="Calibri"/>
                <a:cs typeface="Calibri"/>
              </a:rPr>
              <a:t>
among those receiving PTM</a:t>
            </a:r>
          </a:p>
        </c:rich>
      </c:tx>
      <c:layout/>
      <c:overlay val="0"/>
      <c:spPr>
        <a:noFill/>
        <a:ln>
          <a:noFill/>
        </a:ln>
      </c:spPr>
    </c:title>
    <c:plotArea>
      <c:layout/>
      <c:pieChart>
        <c:varyColors val="1"/>
        <c:ser>
          <c:idx val="0"/>
          <c:order val="0"/>
          <c:tx>
            <c:strRef>
              <c:f>Reports!$E$103:$E$104</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Reports!$I$118:$I$119</c:f>
              <c:strCache/>
            </c:strRef>
          </c:cat>
          <c:val>
            <c:numRef>
              <c:f>Reports!$E$103:$E$104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Post-Acute</a:t>
            </a:r>
            <a:r>
              <a:rPr lang="en-US" cap="none" sz="1200" u="none" baseline="0">
                <a:latin typeface="Calibri"/>
                <a:ea typeface="Calibri"/>
                <a:cs typeface="Calibri"/>
              </a:rPr>
              <a:t>
Dementia &amp; Mental Health (MH) Diagnoses</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0D068"/>
              </a:solidFill>
              <a:ln w="19050">
                <a:solidFill>
                  <a:schemeClr val="bg1"/>
                </a:solidFill>
              </a:ln>
            </c:spPr>
          </c:dPt>
          <c:dPt>
            <c:idx val="1"/>
            <c:spPr>
              <a:solidFill>
                <a:srgbClr val="13B5EA"/>
              </a:solidFill>
              <a:ln w="19050">
                <a:solidFill>
                  <a:schemeClr val="bg1"/>
                </a:solidFill>
              </a:ln>
            </c:spPr>
          </c:dPt>
          <c:dPt>
            <c:idx val="2"/>
            <c:spPr>
              <a:solidFill>
                <a:srgbClr val="B2DCF5"/>
              </a:solidFill>
              <a:ln w="19050">
                <a:solidFill>
                  <a:schemeClr val="bg1"/>
                </a:solidFill>
              </a:ln>
            </c:spPr>
          </c:dPt>
          <c:dPt>
            <c:idx val="3"/>
            <c:spPr>
              <a:solidFill>
                <a:srgbClr val="F8971D"/>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Reports!$N$32:$N$35</c:f>
            </c:strRef>
          </c:cat>
          <c:val>
            <c:numRef>
              <c:f>Reports!$P$32:$P$35</c:f>
            </c:numRef>
          </c:val>
        </c:ser>
      </c:pieChart>
      <c:spPr>
        <a:noFill/>
        <a:ln>
          <a:noFill/>
        </a:ln>
      </c:spPr>
    </c:plotArea>
    <c:legend>
      <c:legendPos val="r"/>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Preferences &amp; Joys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Reports!$V$69:$V$76</c:f>
              <c:strCache/>
            </c:strRef>
          </c:cat>
          <c:val>
            <c:numRef>
              <c:f>Reports!$R$54:$R$61</c:f>
            </c:numRef>
          </c:val>
        </c:ser>
        <c:overlap val="-27"/>
        <c:gapWidth val="219"/>
        <c:axId val="51397780"/>
        <c:axId val="59926837"/>
      </c:barChart>
      <c:catAx>
        <c:axId val="51397780"/>
        <c:scaling>
          <c:orientation val="minMax"/>
        </c:scaling>
        <c:axPos val="b"/>
        <c:title>
          <c:tx>
            <c:rich>
              <a:bodyPr vert="horz" rot="0" anchor="ctr"/>
              <a:lstStyle/>
              <a:p>
                <a:pPr algn="ctr">
                  <a:defRPr/>
                </a:pPr>
                <a:r>
                  <a:rPr lang="en-US" cap="none" sz="1100" b="0" i="0" u="none" baseline="0">
                    <a:solidFill>
                      <a:schemeClr val="tx1">
                        <a:lumMod val="65000"/>
                        <a:lumOff val="35000"/>
                      </a:schemeClr>
                    </a:solidFill>
                    <a:latin typeface="+mn-lt"/>
                    <a:ea typeface="Calibri"/>
                    <a:cs typeface="Calibri"/>
                  </a:rPr>
                  <a:t>Number of Preferences &amp; Joys Recorded</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9926837"/>
        <c:crosses val="autoZero"/>
        <c:auto val="1"/>
        <c:lblOffset val="100"/>
        <c:noMultiLvlLbl val="0"/>
      </c:catAx>
      <c:valAx>
        <c:axId val="59926837"/>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1397780"/>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 (PTM) Orders by Diagnosis</a:t>
            </a:r>
          </a:p>
        </c:rich>
      </c:tx>
      <c:layout/>
      <c:overlay val="0"/>
      <c:spPr>
        <a:noFill/>
        <a:ln>
          <a:noFill/>
        </a:ln>
      </c:spPr>
    </c:title>
    <c:plotArea>
      <c:layout/>
      <c:barChart>
        <c:barDir val="col"/>
        <c:grouping val="clustered"/>
        <c:varyColors val="0"/>
        <c:ser>
          <c:idx val="0"/>
          <c:order val="0"/>
          <c:tx>
            <c:strRef>
              <c:f>Reports!$N$96</c:f>
              <c:strCache>
                <c:ptCount val="1"/>
                <c:pt idx="0">
                  <c:v>No current PTM orders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Reports!$O$96:$R$96</c:f>
            </c:numRef>
          </c:val>
        </c:ser>
        <c:ser>
          <c:idx val="1"/>
          <c:order val="1"/>
          <c:tx>
            <c:strRef>
              <c:f>Reports!$N$97</c:f>
              <c:strCache>
                <c:ptCount val="1"/>
                <c:pt idx="0">
                  <c:v>1 PTM order</c:v>
                </c:pt>
              </c:strCache>
            </c:strRef>
          </c:tx>
          <c:spPr>
            <a:solidFill>
              <a:srgbClr val="B2DCF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Reports!$O$97:$R$97</c:f>
            </c:numRef>
          </c:val>
        </c:ser>
        <c:ser>
          <c:idx val="2"/>
          <c:order val="2"/>
          <c:tx>
            <c:strRef>
              <c:f>Reports!$N$98</c:f>
              <c:strCache>
                <c:ptCount val="1"/>
                <c:pt idx="0">
                  <c:v>2 PTM orders</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Reports!$O$98:$R$98</c:f>
            </c:numRef>
          </c:val>
        </c:ser>
        <c:ser>
          <c:idx val="3"/>
          <c:order val="3"/>
          <c:tx>
            <c:strRef>
              <c:f>Reports!$N$99</c:f>
              <c:strCache>
                <c:ptCount val="1"/>
                <c:pt idx="0">
                  <c:v>3+ PTM orders</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Reports!$O$95:$R$95</c:f>
            </c:strRef>
          </c:cat>
          <c:val>
            <c:numRef>
              <c:f>Reports!$O$99:$R$99</c:f>
            </c:numRef>
          </c:val>
        </c:ser>
        <c:axId val="2470622"/>
        <c:axId val="22235599"/>
      </c:barChart>
      <c:catAx>
        <c:axId val="24706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2235599"/>
        <c:crosses val="autoZero"/>
        <c:auto val="1"/>
        <c:lblOffset val="100"/>
        <c:noMultiLvlLbl val="0"/>
      </c:catAx>
      <c:valAx>
        <c:axId val="22235599"/>
        <c:scaling>
          <c:orientation val="minMax"/>
          <c:max val="1.05"/>
          <c:min val="0"/>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2470622"/>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a:t>
            </a:r>
            <a:r>
              <a:rPr lang="en-US" cap="none" sz="1200" u="none" baseline="0">
                <a:latin typeface="Calibri"/>
                <a:ea typeface="Calibri"/>
                <a:cs typeface="Calibri"/>
              </a:rPr>
              <a:t>Top 10 Target Symptoms for Prescribing Psychotropic Medications</a:t>
            </a:r>
            <a:r>
              <a:rPr lang="en-US" cap="none" sz="1200" u="none" baseline="0">
                <a:latin typeface="Calibri"/>
                <a:ea typeface="Calibri"/>
                <a:cs typeface="Calibri"/>
              </a:rPr>
              <a:t>
for Individuals Living with Dementia</a:t>
            </a:r>
          </a:p>
        </c:rich>
      </c:tx>
      <c:layout/>
      <c:overlay val="0"/>
      <c:spPr>
        <a:noFill/>
        <a:ln>
          <a:noFill/>
        </a:ln>
      </c:spPr>
    </c:title>
    <c:plotArea>
      <c:layout/>
      <c:barChart>
        <c:barDir val="col"/>
        <c:grouping val="clustered"/>
        <c:varyColors val="0"/>
        <c:ser>
          <c:idx val="0"/>
          <c:order val="0"/>
          <c:tx>
            <c:strRef>
              <c:f>Reports!$S$142</c:f>
              <c:strCache>
                <c:ptCount val="1"/>
                <c:pt idx="0">
                  <c:v>Percent</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Reports!$O$143:$O$153</c:f>
            </c:strRef>
          </c:cat>
          <c:val>
            <c:numRef>
              <c:f>Reports!$S$143:$S$153</c:f>
            </c:numRef>
          </c:val>
        </c:ser>
        <c:overlap val="-27"/>
        <c:gapWidth val="219"/>
        <c:axId val="65902664"/>
        <c:axId val="56253065"/>
      </c:barChart>
      <c:catAx>
        <c:axId val="659026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56253065"/>
        <c:crosses val="autoZero"/>
        <c:auto val="1"/>
        <c:lblOffset val="100"/>
        <c:noMultiLvlLbl val="0"/>
      </c:catAx>
      <c:valAx>
        <c:axId val="56253065"/>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65902664"/>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Preferences &amp; Joys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Reports!$I$69:$I$76</c:f>
              <c:strCache/>
            </c:strRef>
          </c:cat>
          <c:val>
            <c:numRef>
              <c:f>Reports!$E$54:$E$61</c:f>
            </c:numRef>
          </c:val>
        </c:ser>
        <c:overlap val="-27"/>
        <c:gapWidth val="219"/>
        <c:axId val="64326876"/>
        <c:axId val="42070973"/>
      </c:barChart>
      <c:catAx>
        <c:axId val="64326876"/>
        <c:scaling>
          <c:orientation val="minMax"/>
        </c:scaling>
        <c:axPos val="b"/>
        <c:title>
          <c:tx>
            <c:rich>
              <a:bodyPr vert="horz" rot="0" anchor="ctr"/>
              <a:lstStyle/>
              <a:p>
                <a:pPr algn="ctr">
                  <a:defRPr/>
                </a:pPr>
                <a:r>
                  <a:rPr lang="en-US" cap="none" sz="1100" b="0" i="0" u="none" baseline="0">
                    <a:solidFill>
                      <a:schemeClr val="tx1">
                        <a:lumMod val="65000"/>
                        <a:lumOff val="35000"/>
                      </a:schemeClr>
                    </a:solidFill>
                    <a:latin typeface="+mn-lt"/>
                    <a:ea typeface="Calibri"/>
                    <a:cs typeface="Calibri"/>
                  </a:rPr>
                  <a:t>Number of Preferences &amp; Joys Recorded</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64326876"/>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Informed Choice</a:t>
            </a:r>
          </a:p>
        </c:rich>
      </c:tx>
      <c:layout/>
      <c:overlay val="0"/>
      <c:spPr>
        <a:noFill/>
        <a:ln>
          <a:noFill/>
        </a:ln>
      </c:spPr>
    </c:title>
    <c:plotArea>
      <c:layout/>
      <c:barChart>
        <c:barDir val="col"/>
        <c:grouping val="clustered"/>
        <c:varyColors val="0"/>
        <c:ser>
          <c:idx val="0"/>
          <c:order val="0"/>
          <c:tx>
            <c:strRef>
              <c:f>Reports!$N$189</c:f>
              <c:strCache>
                <c:ptCount val="1"/>
                <c:pt idx="0">
                  <c:v>Yes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Reports!$O$189:$Q$189</c:f>
            </c:numRef>
          </c:val>
        </c:ser>
        <c:ser>
          <c:idx val="1"/>
          <c:order val="1"/>
          <c:tx>
            <c:strRef>
              <c:f>Reports!$N$190</c:f>
              <c:strCache>
                <c:ptCount val="1"/>
                <c:pt idx="0">
                  <c:v>No</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Reports!$O$190:$Q$190</c:f>
            </c:numRef>
          </c:val>
        </c:ser>
        <c:ser>
          <c:idx val="2"/>
          <c:order val="2"/>
          <c:tx>
            <c:strRef>
              <c:f>Reports!$N$191</c:f>
              <c:strCache>
                <c:ptCount val="1"/>
                <c:pt idx="0">
                  <c:v>Not recorded</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Reports!$O$188:$Q$188</c:f>
            </c:strRef>
          </c:cat>
          <c:val>
            <c:numRef>
              <c:f>Reports!$O$191:$Q$191</c:f>
            </c:numRef>
          </c:val>
        </c:ser>
        <c:axId val="36515538"/>
        <c:axId val="60204387"/>
      </c:barChart>
      <c:catAx>
        <c:axId val="365155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60204387"/>
        <c:crosses val="autoZero"/>
        <c:auto val="1"/>
        <c:lblOffset val="100"/>
        <c:noMultiLvlLbl val="0"/>
      </c:catAx>
      <c:valAx>
        <c:axId val="60204387"/>
        <c:scaling>
          <c:orientation val="minMax"/>
          <c:max val="1"/>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6515538"/>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Documentation &amp; Process Completion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Reports!$V$214:$X$216</c:f>
              <c:multiLvlStrCache/>
            </c:multiLvlStrRef>
          </c:cat>
          <c:val>
            <c:numRef>
              <c:f>Reports!$Q$204:$Q$206</c:f>
            </c:numRef>
          </c:val>
        </c:ser>
        <c:overlap val="-27"/>
        <c:gapWidth val="219"/>
        <c:axId val="4968572"/>
        <c:axId val="44717149"/>
      </c:barChart>
      <c:catAx>
        <c:axId val="49685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4717149"/>
        <c:crosses val="autoZero"/>
        <c:auto val="1"/>
        <c:lblOffset val="100"/>
        <c:noMultiLvlLbl val="0"/>
      </c:catAx>
      <c:valAx>
        <c:axId val="4471714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968572"/>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Strengths and Dislikes</a:t>
            </a:r>
          </a:p>
        </c:rich>
      </c:tx>
      <c:layout/>
      <c:overlay val="0"/>
      <c:spPr>
        <a:noFill/>
        <a:ln>
          <a:noFill/>
        </a:ln>
      </c:spPr>
    </c:title>
    <c:plotArea>
      <c:layout/>
      <c:barChart>
        <c:barDir val="col"/>
        <c:grouping val="clustered"/>
        <c:varyColors val="0"/>
        <c:ser>
          <c:idx val="0"/>
          <c:order val="0"/>
          <c:tx>
            <c:strRef>
              <c:f>Reports!$R$219:$R$220</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Reports!$V$230:$W$231</c:f>
              <c:multiLvlStrCache/>
            </c:multiLvlStrRef>
          </c:cat>
          <c:val>
            <c:numRef>
              <c:f>Reports!$R$219:$R$220</c:f>
            </c:numRef>
          </c:val>
        </c:ser>
        <c:overlap val="-27"/>
        <c:gapWidth val="219"/>
        <c:axId val="66910022"/>
        <c:axId val="65319287"/>
      </c:barChart>
      <c:catAx>
        <c:axId val="6691002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65319287"/>
        <c:crosses val="autoZero"/>
        <c:auto val="1"/>
        <c:lblOffset val="100"/>
        <c:noMultiLvlLbl val="0"/>
      </c:catAx>
      <c:valAx>
        <c:axId val="6531928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66910022"/>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PRN Orders by Category of Psychotropic Medication</a:t>
            </a:r>
          </a:p>
        </c:rich>
      </c:tx>
      <c:layout/>
      <c:overlay val="0"/>
      <c:spPr>
        <a:noFill/>
        <a:ln>
          <a:noFill/>
        </a:ln>
      </c:spPr>
    </c:title>
    <c:plotArea>
      <c:layout/>
      <c:barChart>
        <c:barDir val="col"/>
        <c:grouping val="clustered"/>
        <c:varyColors val="0"/>
        <c:ser>
          <c:idx val="0"/>
          <c:order val="0"/>
          <c:tx>
            <c:strRef>
              <c:f>Reports!$T$234:$T$241</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8971D"/>
              </a:solidFill>
              <a:ln>
                <a:no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Reports!$V$261:$V$268</c:f>
              <c:strCache/>
            </c:strRef>
          </c:cat>
          <c:val>
            <c:numRef>
              <c:f>Reports!$T$234:$T$241</c:f>
            </c:numRef>
          </c:val>
        </c:ser>
        <c:overlap val="-27"/>
        <c:gapWidth val="219"/>
        <c:axId val="51002672"/>
        <c:axId val="56370865"/>
      </c:barChart>
      <c:catAx>
        <c:axId val="510026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6370865"/>
        <c:crosses val="autoZero"/>
        <c:auto val="1"/>
        <c:lblOffset val="100"/>
        <c:noMultiLvlLbl val="0"/>
      </c:catAx>
      <c:valAx>
        <c:axId val="56370865"/>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1002672"/>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Possible Adverse Consequences (AC)</a:t>
            </a:r>
            <a:r>
              <a:rPr lang="en-US" cap="none" sz="1200" u="none" baseline="0">
                <a:latin typeface="Calibri"/>
                <a:ea typeface="Calibri"/>
                <a:cs typeface="Calibri"/>
              </a:rPr>
              <a:t>
among Individuals on Psychotropic Medication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Reports!$V$288:$V$292</c:f>
              <c:strCache/>
            </c:strRef>
          </c:cat>
          <c:val>
            <c:numRef>
              <c:f>Reports!$R$274:$R$278</c:f>
            </c:numRef>
          </c:val>
        </c:ser>
        <c:overlap val="-27"/>
        <c:gapWidth val="219"/>
        <c:axId val="37575738"/>
        <c:axId val="2637323"/>
      </c:barChart>
      <c:catAx>
        <c:axId val="375757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637323"/>
        <c:crosses val="autoZero"/>
        <c:auto val="1"/>
        <c:lblOffset val="100"/>
        <c:noMultiLvlLbl val="0"/>
      </c:catAx>
      <c:valAx>
        <c:axId val="263732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757573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Gradual Dose Reduction (GDR) Outcomes</a:t>
            </a:r>
            <a:r>
              <a:rPr lang="en-US" cap="none" sz="1200" u="none" baseline="0">
                <a:latin typeface="Calibri"/>
                <a:ea typeface="Calibri"/>
                <a:cs typeface="Calibri"/>
              </a:rPr>
              <a:t>
among GDRs Completed This Month or Still In Progress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Reports!$V$310:$V$315</c:f>
              <c:strCache/>
            </c:strRef>
          </c:cat>
          <c:val>
            <c:numRef>
              <c:f>Reports!$R$294:$R$299</c:f>
            </c:numRef>
          </c:val>
        </c:ser>
        <c:overlap val="-27"/>
        <c:gapWidth val="219"/>
        <c:axId val="23735908"/>
        <c:axId val="12296581"/>
      </c:barChart>
      <c:catAx>
        <c:axId val="2373590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2296581"/>
        <c:crosses val="autoZero"/>
        <c:auto val="1"/>
        <c:lblOffset val="100"/>
        <c:noMultiLvlLbl val="0"/>
      </c:catAx>
      <c:valAx>
        <c:axId val="1229658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2373590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Documentation when GDR is Contraindicated</a:t>
            </a:r>
          </a:p>
        </c:rich>
      </c:tx>
      <c:layout/>
      <c:overlay val="0"/>
      <c:spPr>
        <a:noFill/>
        <a:ln>
          <a:noFill/>
        </a:ln>
      </c:spPr>
    </c:title>
    <c:plotArea>
      <c:layout/>
      <c:pieChart>
        <c:varyColors val="1"/>
        <c:ser>
          <c:idx val="0"/>
          <c:order val="0"/>
          <c:tx>
            <c:strRef>
              <c:f>Reports!$R$318:$R$319</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Reports!$V$333:$V$334</c:f>
              <c:strCache/>
            </c:strRef>
          </c:cat>
          <c:val>
            <c:numRef>
              <c:f>Reports!$R$318:$R$319</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Residents on Psychotropic Medication</a:t>
            </a:r>
            <a:r>
              <a:rPr lang="en-US" cap="none" sz="1200" u="none" baseline="0">
                <a:latin typeface="Calibri"/>
                <a:ea typeface="Calibri"/>
                <a:cs typeface="Calibri"/>
              </a:rPr>
              <a:t>
Living with Dementia</a:t>
            </a:r>
          </a:p>
        </c:rich>
      </c:tx>
      <c:layout/>
      <c:overlay val="0"/>
      <c:spPr>
        <a:noFill/>
        <a:ln>
          <a:noFill/>
        </a:ln>
      </c:spPr>
    </c:title>
    <c:plotArea>
      <c:layout/>
      <c:barChart>
        <c:barDir val="col"/>
        <c:grouping val="clustered"/>
        <c:varyColors val="0"/>
        <c:ser>
          <c:idx val="0"/>
          <c:order val="0"/>
          <c:tx>
            <c:strRef>
              <c:f>Reports!$S$360:$S$364</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Reports!$V$375:$V$379</c:f>
              <c:strCache/>
            </c:strRef>
          </c:cat>
          <c:val>
            <c:numRef>
              <c:f>Reports!$S$360:$S$364</c:f>
            </c:numRef>
          </c:val>
        </c:ser>
        <c:overlap val="-27"/>
        <c:gapWidth val="219"/>
        <c:axId val="43560366"/>
        <c:axId val="56498975"/>
      </c:barChart>
      <c:catAx>
        <c:axId val="435603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6498975"/>
        <c:crosses val="autoZero"/>
        <c:auto val="1"/>
        <c:lblOffset val="100"/>
        <c:noMultiLvlLbl val="0"/>
      </c:catAx>
      <c:valAx>
        <c:axId val="5649897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3560366"/>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Individuals on Psychotropic Medication</a:t>
            </a:r>
            <a:r>
              <a:rPr lang="en-US" cap="none" sz="1200" u="none" baseline="0">
                <a:latin typeface="Calibri"/>
                <a:ea typeface="Calibri"/>
                <a:cs typeface="Calibri"/>
              </a:rPr>
              <a:t>
with Mental Health Diagnosis</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Reports!$V$399:$V$407</c:f>
              <c:strCache/>
            </c:strRef>
          </c:cat>
          <c:val>
            <c:numRef>
              <c:f>Reports!$S$383:$S$391</c:f>
            </c:numRef>
          </c:val>
        </c:ser>
        <c:overlap val="-27"/>
        <c:gapWidth val="219"/>
        <c:axId val="38728728"/>
        <c:axId val="13014233"/>
      </c:barChart>
      <c:catAx>
        <c:axId val="3872872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13014233"/>
        <c:crosses val="autoZero"/>
        <c:auto val="1"/>
        <c:lblOffset val="100"/>
        <c:noMultiLvlLbl val="0"/>
      </c:catAx>
      <c:valAx>
        <c:axId val="1301423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872872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Residents on Psychotropic Medication (PTM)</a:t>
            </a:r>
            <a:r>
              <a:rPr lang="en-US" cap="none" sz="1200" u="none" baseline="0">
                <a:latin typeface="Calibri"/>
                <a:ea typeface="Calibri"/>
                <a:cs typeface="Calibri"/>
              </a:rPr>
              <a:t>
by Diagnosis Type</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Reports!$V$352:$V$355</c:f>
              <c:strCache/>
            </c:strRef>
          </c:cat>
          <c:val>
            <c:numRef>
              <c:f>Reports!$T$337:$T$340</c:f>
            </c:numRef>
          </c:val>
        </c:ser>
        <c:overlap val="-27"/>
        <c:gapWidth val="219"/>
        <c:axId val="50019234"/>
        <c:axId val="47519923"/>
      </c:barChart>
      <c:catAx>
        <c:axId val="5001923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7519923"/>
        <c:crosses val="autoZero"/>
        <c:auto val="1"/>
        <c:lblOffset val="100"/>
        <c:noMultiLvlLbl val="0"/>
      </c:catAx>
      <c:valAx>
        <c:axId val="47519923"/>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50019234"/>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Long-Stay</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 (PTM) Orders by Diagnosis</a:t>
            </a:r>
          </a:p>
        </c:rich>
      </c:tx>
      <c:layout/>
      <c:overlay val="0"/>
      <c:spPr>
        <a:noFill/>
        <a:ln>
          <a:noFill/>
        </a:ln>
      </c:spPr>
    </c:title>
    <c:plotArea>
      <c:layout/>
      <c:barChart>
        <c:barDir val="col"/>
        <c:grouping val="clustered"/>
        <c:varyColors val="0"/>
        <c:ser>
          <c:idx val="0"/>
          <c:order val="0"/>
          <c:tx>
            <c:strRef>
              <c:f>Reports!$A$96</c:f>
              <c:strCache>
                <c:ptCount val="1"/>
                <c:pt idx="0">
                  <c:v>No current PTM orders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Reports!$B$96:$E$96</c:f>
            </c:numRef>
          </c:val>
        </c:ser>
        <c:ser>
          <c:idx val="1"/>
          <c:order val="1"/>
          <c:tx>
            <c:strRef>
              <c:f>Reports!$A$97</c:f>
              <c:strCache>
                <c:ptCount val="1"/>
                <c:pt idx="0">
                  <c:v>1 PTM order</c:v>
                </c:pt>
              </c:strCache>
            </c:strRef>
          </c:tx>
          <c:spPr>
            <a:solidFill>
              <a:srgbClr val="B2DCF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Reports!$B$97:$E$97</c:f>
            </c:numRef>
          </c:val>
        </c:ser>
        <c:ser>
          <c:idx val="2"/>
          <c:order val="2"/>
          <c:tx>
            <c:strRef>
              <c:f>Reports!$A$98</c:f>
              <c:strCache>
                <c:ptCount val="1"/>
                <c:pt idx="0">
                  <c:v>2 PTM orders</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Reports!$B$98:$E$98</c:f>
            </c:numRef>
          </c:val>
        </c:ser>
        <c:ser>
          <c:idx val="3"/>
          <c:order val="3"/>
          <c:tx>
            <c:strRef>
              <c:f>Reports!$A$99</c:f>
              <c:strCache>
                <c:ptCount val="1"/>
                <c:pt idx="0">
                  <c:v>3+ PTM orders</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Reports!$B$95:$E$95</c:f>
            </c:strRef>
          </c:cat>
          <c:val>
            <c:numRef>
              <c:f>Reports!$B$99:$E$99</c:f>
            </c:numRef>
          </c:val>
        </c:ser>
        <c:axId val="43094438"/>
        <c:axId val="52305623"/>
      </c:barChart>
      <c:catAx>
        <c:axId val="430944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2305623"/>
        <c:crosses val="autoZero"/>
        <c:auto val="1"/>
        <c:lblOffset val="100"/>
        <c:noMultiLvlLbl val="0"/>
      </c:catAx>
      <c:valAx>
        <c:axId val="52305623"/>
        <c:scaling>
          <c:orientation val="minMax"/>
          <c:max val="1.05"/>
          <c:min val="0"/>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Residents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3094438"/>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u="none" baseline="0">
                <a:latin typeface="Calibri"/>
                <a:ea typeface="Calibri"/>
                <a:cs typeface="Calibri"/>
              </a:rPr>
              <a:t>
Multiple Psychotropic Medications (PTM)</a:t>
            </a:r>
            <a:r>
              <a:rPr lang="en-US" cap="none" sz="1200" u="none" baseline="0">
                <a:latin typeface="Calibri"/>
                <a:ea typeface="Calibri"/>
                <a:cs typeface="Calibri"/>
              </a:rPr>
              <a:t>
among those receiving PTM</a:t>
            </a:r>
          </a:p>
        </c:rich>
      </c:tx>
      <c:layout/>
      <c:overlay val="0"/>
      <c:spPr>
        <a:noFill/>
        <a:ln>
          <a:noFill/>
        </a:ln>
      </c:spPr>
    </c:title>
    <c:plotArea>
      <c:layout/>
      <c:pieChart>
        <c:varyColors val="1"/>
        <c:ser>
          <c:idx val="0"/>
          <c:order val="0"/>
          <c:tx>
            <c:strRef>
              <c:f>Reports!$R$103:$R$104</c:f>
              <c:strCache>
                <c:ptCount val="1"/>
                <c:pt idx="0">
                  <c:v>#N/A</c:v>
                </c:pt>
              </c:strCache>
            </c:strRef>
          </c:tx>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Reports!$V$118:$V$119</c:f>
              <c:strCache/>
            </c:strRef>
          </c:cat>
          <c:val>
            <c:numRef>
              <c:f>Reports!$R$103:$R$104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
Psychotropic Medications (PTM) with</a:t>
            </a:r>
            <a:r>
              <a:rPr lang="en-US" cap="none" sz="1200" u="none" baseline="0">
                <a:latin typeface="Calibri"/>
                <a:ea typeface="Calibri"/>
                <a:cs typeface="Calibri"/>
              </a:rPr>
              <a:t>
At Least One Target Symptom Specified</a:t>
            </a:r>
          </a:p>
        </c:rich>
      </c:tx>
      <c:layout/>
      <c:overlay val="0"/>
      <c:spPr>
        <a:noFill/>
        <a:ln>
          <a:noFill/>
        </a:ln>
      </c:spPr>
    </c:title>
    <c:plotArea>
      <c:layout/>
      <c:pieChart>
        <c:varyColors val="1"/>
        <c:ser>
          <c:idx val="0"/>
          <c:order val="0"/>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Reports!$I$138:$I$139</c:f>
              <c:strCache/>
            </c:strRef>
          </c:cat>
          <c:val>
            <c:numRef>
              <c:f>Reports!$E$123:$E$124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latin typeface="Calibri"/>
                <a:ea typeface="Calibri"/>
                <a:cs typeface="Calibri"/>
              </a:rPr>
              <a:t>Post-Acute</a:t>
            </a:r>
            <a:r>
              <a:rPr lang="en-US" cap="none" sz="1200" b="0" i="0" u="none" baseline="0">
                <a:latin typeface="Calibri"/>
                <a:ea typeface="Calibri"/>
                <a:cs typeface="Calibri"/>
              </a:rPr>
              <a:t>
</a:t>
            </a:r>
            <a:r>
              <a:rPr lang="en-US" cap="none" sz="1200" b="0" i="0" u="none" baseline="0">
                <a:latin typeface="Calibri"/>
                <a:ea typeface="Calibri"/>
                <a:cs typeface="Calibri"/>
              </a:rPr>
              <a:t>Psychotropic Medications (PTM) with</a:t>
            </a:r>
            <a:r>
              <a:rPr lang="en-US" cap="none" sz="1200" b="0" i="0" u="none" baseline="0">
                <a:latin typeface="Calibri"/>
                <a:ea typeface="Calibri"/>
                <a:cs typeface="Calibri"/>
              </a:rPr>
              <a:t>
At Least One Target Symptom Specified</a:t>
            </a:r>
          </a:p>
        </c:rich>
      </c:tx>
      <c:layout/>
      <c:overlay val="0"/>
      <c:spPr>
        <a:noFill/>
        <a:ln>
          <a:noFill/>
        </a:ln>
      </c:spPr>
    </c:title>
    <c:plotArea>
      <c:layout/>
      <c:pieChart>
        <c:varyColors val="1"/>
        <c:ser>
          <c:idx val="0"/>
          <c:order val="0"/>
          <c:spPr>
            <a:solidFill>
              <a:srgbClr val="13B5EA"/>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8971D"/>
              </a:solidFill>
              <a:ln w="19050">
                <a:solidFill>
                  <a:schemeClr val="bg1"/>
                </a:solidFill>
              </a:ln>
            </c:spPr>
          </c:dPt>
          <c:dPt>
            <c:idx val="1"/>
            <c:spPr>
              <a:solidFill>
                <a:srgbClr val="13B5EA"/>
              </a:solidFill>
              <a:ln w="19050">
                <a:solidFill>
                  <a:schemeClr val="bg1"/>
                </a:solid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Reports!$V$138:$V$139</c:f>
              <c:strCache/>
            </c:strRef>
          </c:cat>
          <c:val>
            <c:numRef>
              <c:f>Reports!$R$123:$R$124</c:f>
            </c:numRef>
          </c:val>
        </c:ser>
      </c:pieChart>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a:t>
            </a:r>
            <a:r>
              <a:rPr lang="en-US" cap="none" sz="1200" u="none" baseline="0">
                <a:latin typeface="Calibri"/>
                <a:ea typeface="Calibri"/>
                <a:cs typeface="Calibri"/>
              </a:rPr>
              <a:t>Top 10 Target Symptoms for Prescribing Psychotropic Medications</a:t>
            </a:r>
            <a:r>
              <a:rPr lang="en-US" cap="none" sz="1200" u="none" baseline="0">
                <a:latin typeface="Calibri"/>
                <a:ea typeface="Calibri"/>
                <a:cs typeface="Calibri"/>
              </a:rPr>
              <a:t>
for Individuals Living with Dementia</a:t>
            </a:r>
          </a:p>
        </c:rich>
      </c:tx>
      <c:layout/>
      <c:overlay val="0"/>
      <c:spPr>
        <a:noFill/>
        <a:ln>
          <a:noFill/>
        </a:ln>
      </c:spPr>
    </c:title>
    <c:plotArea>
      <c:layout/>
      <c:barChart>
        <c:barDir val="col"/>
        <c:grouping val="clustered"/>
        <c:varyColors val="0"/>
        <c:ser>
          <c:idx val="0"/>
          <c:order val="0"/>
          <c:tx>
            <c:strRef>
              <c:f>Reports!$F$142</c:f>
              <c:strCache>
                <c:ptCount val="1"/>
                <c:pt idx="0">
                  <c:v>Percent</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Reports!$B$143:$B$153</c:f>
            </c:strRef>
          </c:cat>
          <c:val>
            <c:numRef>
              <c:f>Reports!$F$143:$F$153</c:f>
            </c:numRef>
          </c:val>
        </c:ser>
        <c:overlap val="-27"/>
        <c:gapWidth val="219"/>
        <c:axId val="988560"/>
        <c:axId val="8897041"/>
      </c:barChart>
      <c:catAx>
        <c:axId val="98856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988560"/>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Informed Choice</a:t>
            </a:r>
          </a:p>
        </c:rich>
      </c:tx>
      <c:layout/>
      <c:overlay val="0"/>
      <c:spPr>
        <a:noFill/>
        <a:ln>
          <a:noFill/>
        </a:ln>
      </c:spPr>
    </c:title>
    <c:plotArea>
      <c:layout/>
      <c:barChart>
        <c:barDir val="col"/>
        <c:grouping val="clustered"/>
        <c:varyColors val="0"/>
        <c:ser>
          <c:idx val="0"/>
          <c:order val="0"/>
          <c:tx>
            <c:strRef>
              <c:f>Reports!$A$189</c:f>
              <c:strCache>
                <c:ptCount val="1"/>
                <c:pt idx="0">
                  <c:v>Yes</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Reports!$B$189:$D$189</c:f>
            </c:numRef>
          </c:val>
        </c:ser>
        <c:ser>
          <c:idx val="1"/>
          <c:order val="1"/>
          <c:tx>
            <c:strRef>
              <c:f>Reports!$A$190</c:f>
              <c:strCache>
                <c:ptCount val="1"/>
                <c:pt idx="0">
                  <c:v>No</c:v>
                </c:pt>
              </c:strCache>
            </c:strRef>
          </c:tx>
          <c:spPr>
            <a:solidFill>
              <a:srgbClr val="F0D06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Reports!$B$190:$D$190</c:f>
            </c:numRef>
          </c:val>
        </c:ser>
        <c:ser>
          <c:idx val="2"/>
          <c:order val="2"/>
          <c:tx>
            <c:strRef>
              <c:f>Reports!$A$191</c:f>
              <c:strCache>
                <c:ptCount val="1"/>
                <c:pt idx="0">
                  <c:v>Not recorded</c:v>
                </c:pt>
              </c:strCache>
            </c:strRef>
          </c:tx>
          <c:spPr>
            <a:solidFill>
              <a:srgbClr val="F8971D"/>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Reports!$B$188:$D$188</c:f>
            </c:strRef>
          </c:cat>
          <c:val>
            <c:numRef>
              <c:f>Reports!$B$191:$D$191</c:f>
            </c:numRef>
          </c:val>
        </c:ser>
        <c:axId val="12964506"/>
        <c:axId val="49571691"/>
      </c:barChart>
      <c:catAx>
        <c:axId val="129645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49571691"/>
        <c:crosses val="autoZero"/>
        <c:auto val="1"/>
        <c:lblOffset val="100"/>
        <c:noMultiLvlLbl val="0"/>
      </c:catAx>
      <c:valAx>
        <c:axId val="49571691"/>
        <c:scaling>
          <c:orientation val="minMax"/>
          <c:max val="1"/>
        </c:scaling>
        <c:axPos val="l"/>
        <c:title>
          <c:tx>
            <c:rich>
              <a:bodyPr vert="horz" rot="-5400000" anchor="ctr"/>
              <a:lstStyle/>
              <a:p>
                <a:pPr algn="ctr">
                  <a:defRPr/>
                </a:pPr>
                <a:r>
                  <a:rPr lang="en-US" cap="none" sz="1100" b="0" i="0" u="none" baseline="0">
                    <a:solidFill>
                      <a:schemeClr val="tx1">
                        <a:lumMod val="65000"/>
                        <a:lumOff val="35000"/>
                      </a:schemeClr>
                    </a:solidFill>
                    <a:latin typeface="+mn-lt"/>
                    <a:ea typeface="Calibri"/>
                    <a:cs typeface="Calibri"/>
                  </a:rPr>
                  <a:t>Percent of Medications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2964506"/>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1100" b="0" i="0" u="none" baseline="0">
              <a:solidFill>
                <a:schemeClr val="tx1">
                  <a:lumMod val="65000"/>
                  <a:lumOff val="35000"/>
                </a:schemeClr>
              </a:solidFill>
              <a:latin typeface="+mn-lt"/>
              <a:ea typeface="Calibri"/>
              <a:cs typeface="Calibri"/>
            </a:defRPr>
          </a:pPr>
        </a:p>
      </c:txPr>
    </c:legend>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Documentation &amp; Process Completion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Reports!$I$214:$K$216</c:f>
              <c:multiLvlStrCache/>
            </c:multiLvlStrRef>
          </c:cat>
          <c:val>
            <c:numRef>
              <c:f>Reports!$D$204:$D$206</c:f>
            </c:numRef>
          </c:val>
        </c:ser>
        <c:overlap val="-27"/>
        <c:gapWidth val="219"/>
        <c:axId val="43492036"/>
        <c:axId val="55884005"/>
      </c:barChart>
      <c:catAx>
        <c:axId val="434920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55884005"/>
        <c:crosses val="autoZero"/>
        <c:auto val="1"/>
        <c:lblOffset val="100"/>
        <c:noMultiLvlLbl val="0"/>
      </c:catAx>
      <c:valAx>
        <c:axId val="5588400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3492036"/>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Strengths and Dislikes</a:t>
            </a:r>
          </a:p>
        </c:rich>
      </c:tx>
      <c:layout/>
      <c:overlay val="0"/>
      <c:spPr>
        <a:noFill/>
        <a:ln>
          <a:noFill/>
        </a:ln>
      </c:spPr>
    </c:title>
    <c:plotArea>
      <c:layout/>
      <c:barChart>
        <c:barDir val="col"/>
        <c:grouping val="clustered"/>
        <c:varyColors val="0"/>
        <c:ser>
          <c:idx val="0"/>
          <c:order val="0"/>
          <c:tx>
            <c:strRef>
              <c:f>Reports!$E$219:$E$220</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multiLvlStrRef>
              <c:f>Reports!$I$230:$J$231</c:f>
              <c:multiLvlStrCache/>
            </c:multiLvlStrRef>
          </c:cat>
          <c:val>
            <c:numRef>
              <c:f>Reports!$E$219:$E$220</c:f>
            </c:numRef>
          </c:val>
        </c:ser>
        <c:overlap val="-27"/>
        <c:gapWidth val="219"/>
        <c:axId val="33193998"/>
        <c:axId val="30310527"/>
      </c:barChart>
      <c:catAx>
        <c:axId val="331939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0310527"/>
        <c:crosses val="autoZero"/>
        <c:auto val="1"/>
        <c:lblOffset val="100"/>
        <c:noMultiLvlLbl val="0"/>
      </c:catAx>
      <c:valAx>
        <c:axId val="3031052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3319399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1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PRN Orders by Category of Psychotropic Medication</a:t>
            </a:r>
          </a:p>
        </c:rich>
      </c:tx>
      <c:layout/>
      <c:overlay val="0"/>
      <c:spPr>
        <a:noFill/>
        <a:ln>
          <a:noFill/>
        </a:ln>
      </c:spPr>
    </c:title>
    <c:plotArea>
      <c:layout/>
      <c:barChart>
        <c:barDir val="col"/>
        <c:grouping val="clustered"/>
        <c:varyColors val="0"/>
        <c:ser>
          <c:idx val="0"/>
          <c:order val="0"/>
          <c:tx>
            <c:strRef>
              <c:f>Reports!$G$234:$G$241</c:f>
              <c:strCache>
                <c:ptCount val="1"/>
                <c:pt idx="0">
                  <c:v>#N/A</c:v>
                </c:pt>
              </c:strCache>
            </c:strRef>
          </c:tx>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8971D"/>
              </a:solidFill>
              <a:ln>
                <a:noFill/>
              </a:ln>
            </c:spPr>
          </c:dP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Reports!$I$261:$I$268</c:f>
              <c:strCache/>
            </c:strRef>
          </c:cat>
          <c:val>
            <c:numRef>
              <c:f>Reports!$G$234:$G$241</c:f>
            </c:numRef>
          </c:val>
        </c:ser>
        <c:overlap val="-27"/>
        <c:gapWidth val="219"/>
        <c:axId val="4359288"/>
        <c:axId val="39233593"/>
      </c:barChart>
      <c:catAx>
        <c:axId val="435928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39233593"/>
        <c:crosses val="autoZero"/>
        <c:auto val="1"/>
        <c:lblOffset val="100"/>
        <c:noMultiLvlLbl val="0"/>
      </c:catAx>
      <c:valAx>
        <c:axId val="39233593"/>
        <c:scaling>
          <c:orientation val="minMax"/>
          <c:max val="1"/>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435928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u="none" baseline="0">
                <a:latin typeface="Calibri"/>
                <a:ea typeface="Calibri"/>
                <a:cs typeface="Calibri"/>
              </a:rPr>
              <a:t>Long-Stay</a:t>
            </a:r>
            <a:r>
              <a:rPr lang="en-US" cap="none" sz="1200" u="none" baseline="0">
                <a:latin typeface="Calibri"/>
                <a:ea typeface="Calibri"/>
                <a:cs typeface="Calibri"/>
              </a:rPr>
              <a:t>
Possible Adverse Consequences (AC)</a:t>
            </a:r>
            <a:r>
              <a:rPr lang="en-US" cap="none" sz="1200" u="none" baseline="0">
                <a:latin typeface="Calibri"/>
                <a:ea typeface="Calibri"/>
                <a:cs typeface="Calibri"/>
              </a:rPr>
              <a:t>
among Individuals on Psychotropic Medication</a:t>
            </a:r>
          </a:p>
        </c:rich>
      </c:tx>
      <c:layout/>
      <c:overlay val="0"/>
      <c:spPr>
        <a:noFill/>
        <a:ln>
          <a:noFill/>
        </a:ln>
      </c:spPr>
    </c:title>
    <c:plotArea>
      <c:layout/>
      <c:barChart>
        <c:barDir val="col"/>
        <c:grouping val="clustered"/>
        <c:varyColors val="0"/>
        <c:ser>
          <c:idx val="0"/>
          <c:order val="0"/>
          <c:spPr>
            <a:solidFill>
              <a:srgbClr val="13B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1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Reports!$I$288:$I$292</c:f>
              <c:strCache/>
            </c:strRef>
          </c:cat>
          <c:val>
            <c:numRef>
              <c:f>Reports!$E$274:$E$278</c:f>
            </c:numRef>
          </c:val>
        </c:ser>
        <c:overlap val="-27"/>
        <c:gapWidth val="219"/>
        <c:axId val="17558018"/>
        <c:axId val="23804435"/>
      </c:barChart>
      <c:catAx>
        <c:axId val="175580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3804435"/>
        <c:crosses val="autoZero"/>
        <c:auto val="1"/>
        <c:lblOffset val="100"/>
        <c:noMultiLvlLbl val="0"/>
      </c:catAx>
      <c:valAx>
        <c:axId val="23804435"/>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100" b="0" i="0" u="none" baseline="0">
                <a:solidFill>
                  <a:schemeClr val="tx1">
                    <a:lumMod val="65000"/>
                    <a:lumOff val="35000"/>
                  </a:schemeClr>
                </a:solidFill>
                <a:latin typeface="+mn-lt"/>
                <a:ea typeface="+mn-cs"/>
                <a:cs typeface="+mn-cs"/>
              </a:defRPr>
            </a:pPr>
          </a:p>
        </c:txPr>
        <c:crossAx val="17558018"/>
        <c:crosses val="autoZero"/>
        <c:crossBetween val="between"/>
        <c:dispUnits/>
      </c:valAx>
      <c:spPr>
        <a:noFill/>
        <a:ln>
          <a:noFill/>
        </a:ln>
      </c:spPr>
    </c:plotArea>
    <c:plotVisOnly val="0"/>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2</xdr:col>
      <xdr:colOff>1571625</xdr:colOff>
      <xdr:row>20</xdr:row>
      <xdr:rowOff>0</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5029200"/>
          <a:ext cx="3267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190500</xdr:colOff>
      <xdr:row>17</xdr:row>
      <xdr:rowOff>104775</xdr:rowOff>
    </xdr:from>
    <xdr:to>
      <xdr:col>2</xdr:col>
      <xdr:colOff>5210175</xdr:colOff>
      <xdr:row>17</xdr:row>
      <xdr:rowOff>400050</xdr:rowOff>
    </xdr:to>
    <xdr:pic>
      <xdr:nvPicPr>
        <xdr:cNvPr id="13"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9775" y="4486275"/>
          <a:ext cx="5019675" cy="295275"/>
        </a:xfrm>
        <a:prstGeom prst="rect">
          <a:avLst/>
        </a:prstGeom>
        <a:ln>
          <a:solidFill>
            <a:sysClr val="windowText" lastClr="000000"/>
          </a:solidFill>
          <a:headEnd type="none"/>
          <a:tailEnd type="none"/>
        </a:ln>
      </xdr:spPr>
    </xdr:pic>
    <xdr:clientData/>
  </xdr:twoCellAnchor>
  <xdr:twoCellAnchor>
    <xdr:from>
      <xdr:col>2</xdr:col>
      <xdr:colOff>4210050</xdr:colOff>
      <xdr:row>17</xdr:row>
      <xdr:rowOff>19050</xdr:rowOff>
    </xdr:from>
    <xdr:to>
      <xdr:col>2</xdr:col>
      <xdr:colOff>4629150</xdr:colOff>
      <xdr:row>17</xdr:row>
      <xdr:rowOff>171450</xdr:rowOff>
    </xdr:to>
    <xdr:cxnSp macro="">
      <xdr:nvCxnSpPr>
        <xdr:cNvPr id="14" name="Straight Arrow Connector 13"/>
        <xdr:cNvCxnSpPr/>
      </xdr:nvCxnSpPr>
      <xdr:spPr>
        <a:xfrm flipH="1">
          <a:off x="6029325" y="4400550"/>
          <a:ext cx="419100" cy="152400"/>
        </a:xfrm>
        <a:prstGeom prst="straightConnector1">
          <a:avLst/>
        </a:prstGeom>
        <a:ln w="38100">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1</xdr:col>
      <xdr:colOff>1657350</xdr:colOff>
      <xdr:row>2</xdr:row>
      <xdr:rowOff>371475</xdr:rowOff>
    </xdr:to>
    <xdr:pic>
      <xdr:nvPicPr>
        <xdr:cNvPr id="18" name="Picture 203" descr="NNHQC_LOGO_Stacked"/>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23825" y="76200"/>
          <a:ext cx="1657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428625</xdr:colOff>
          <xdr:row>9</xdr:row>
          <xdr:rowOff>28575</xdr:rowOff>
        </xdr:from>
        <xdr:to>
          <xdr:col>2</xdr:col>
          <xdr:colOff>561975</xdr:colOff>
          <xdr:row>10</xdr:row>
          <xdr:rowOff>114300</xdr:rowOff>
        </xdr:to>
        <xdr:sp macro="" textlink="">
          <xdr:nvSpPr>
            <xdr:cNvPr id="59393" name="Button 1" hidden="1">
              <a:extLst xmlns:a="http://schemas.openxmlformats.org/drawingml/2006/main">
                <a:ext uri="{63B3BB69-23CF-44E3-9099-C40C66FF867C}">
                  <a14:compatExt spid="_x0000_s59393"/>
                </a:ext>
                <a:ext uri="{FF2B5EF4-FFF2-40B4-BE49-F238E27FC236}">
                  <a16:creationId xmlns:a16="http://schemas.microsoft.com/office/drawing/2014/main" id="{00000000-0008-0000-0000-000001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Instructions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419100</xdr:colOff>
          <xdr:row>11</xdr:row>
          <xdr:rowOff>9525</xdr:rowOff>
        </xdr:from>
        <xdr:to>
          <xdr:col>2</xdr:col>
          <xdr:colOff>552450</xdr:colOff>
          <xdr:row>13</xdr:row>
          <xdr:rowOff>66675</xdr:rowOff>
        </xdr:to>
        <xdr:sp macro="" textlink="">
          <xdr:nvSpPr>
            <xdr:cNvPr id="59394" name="Button 2" hidden="1">
              <a:extLst xmlns:a="http://schemas.openxmlformats.org/drawingml/2006/main">
                <a:ext uri="{63B3BB69-23CF-44E3-9099-C40C66FF867C}">
                  <a14:compatExt spid="_x0000_s59394"/>
                </a:ext>
                <a:ext uri="{FF2B5EF4-FFF2-40B4-BE49-F238E27FC236}">
                  <a16:creationId xmlns:a16="http://schemas.microsoft.com/office/drawing/2014/main" id="{00000000-0008-0000-0000-000002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Create De-identified Copy of This Workbook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4914900</xdr:colOff>
          <xdr:row>9</xdr:row>
          <xdr:rowOff>28575</xdr:rowOff>
        </xdr:from>
        <xdr:to>
          <xdr:col>2</xdr:col>
          <xdr:colOff>6743700</xdr:colOff>
          <xdr:row>10</xdr:row>
          <xdr:rowOff>114300</xdr:rowOff>
        </xdr:to>
        <xdr:sp macro="" textlink="">
          <xdr:nvSpPr>
            <xdr:cNvPr id="59396" name="Button 4" hidden="1">
              <a:extLst xmlns:a="http://schemas.openxmlformats.org/drawingml/2006/main">
                <a:ext uri="{63B3BB69-23CF-44E3-9099-C40C66FF867C}">
                  <a14:compatExt spid="_x0000_s59396"/>
                </a:ext>
                <a:ext uri="{FF2B5EF4-FFF2-40B4-BE49-F238E27FC236}">
                  <a16:creationId xmlns:a16="http://schemas.microsoft.com/office/drawing/2014/main" id="{00000000-0008-0000-0000-000004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Finalize Outcomes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1838325</xdr:colOff>
          <xdr:row>9</xdr:row>
          <xdr:rowOff>28575</xdr:rowOff>
        </xdr:from>
        <xdr:to>
          <xdr:col>2</xdr:col>
          <xdr:colOff>3667125</xdr:colOff>
          <xdr:row>10</xdr:row>
          <xdr:rowOff>114300</xdr:rowOff>
        </xdr:to>
        <xdr:sp macro="" textlink="">
          <xdr:nvSpPr>
            <xdr:cNvPr id="59397" name="Button 5" hidden="1">
              <a:extLst xmlns:a="http://schemas.openxmlformats.org/drawingml/2006/main">
                <a:ext uri="{63B3BB69-23CF-44E3-9099-C40C66FF867C}">
                  <a14:compatExt spid="_x0000_s59397"/>
                </a:ext>
                <a:ext uri="{FF2B5EF4-FFF2-40B4-BE49-F238E27FC236}">
                  <a16:creationId xmlns:a16="http://schemas.microsoft.com/office/drawing/2014/main" id="{00000000-0008-0000-0000-000005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My Residents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4914900</xdr:colOff>
          <xdr:row>11</xdr:row>
          <xdr:rowOff>47625</xdr:rowOff>
        </xdr:from>
        <xdr:to>
          <xdr:col>2</xdr:col>
          <xdr:colOff>6743700</xdr:colOff>
          <xdr:row>12</xdr:row>
          <xdr:rowOff>133350</xdr:rowOff>
        </xdr:to>
        <xdr:sp macro="" textlink="">
          <xdr:nvSpPr>
            <xdr:cNvPr id="59398" name="Button 6" hidden="1">
              <a:extLst xmlns:a="http://schemas.openxmlformats.org/drawingml/2006/main">
                <a:ext uri="{63B3BB69-23CF-44E3-9099-C40C66FF867C}">
                  <a14:compatExt spid="_x0000_s59398"/>
                </a:ext>
                <a:ext uri="{FF2B5EF4-FFF2-40B4-BE49-F238E27FC236}">
                  <a16:creationId xmlns:a16="http://schemas.microsoft.com/office/drawing/2014/main" id="{00000000-0008-0000-0000-000006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Get Monthly Outcomes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2</xdr:col>
          <xdr:colOff>1838325</xdr:colOff>
          <xdr:row>11</xdr:row>
          <xdr:rowOff>47625</xdr:rowOff>
        </xdr:from>
        <xdr:to>
          <xdr:col>2</xdr:col>
          <xdr:colOff>3667125</xdr:colOff>
          <xdr:row>12</xdr:row>
          <xdr:rowOff>133350</xdr:rowOff>
        </xdr:to>
        <xdr:sp macro="" textlink="">
          <xdr:nvSpPr>
            <xdr:cNvPr id="59399" name="Button 7" hidden="1">
              <a:extLst xmlns:a="http://schemas.openxmlformats.org/drawingml/2006/main">
                <a:ext uri="{63B3BB69-23CF-44E3-9099-C40C66FF867C}">
                  <a14:compatExt spid="_x0000_s59399"/>
                </a:ext>
                <a:ext uri="{FF2B5EF4-FFF2-40B4-BE49-F238E27FC236}">
                  <a16:creationId xmlns:a16="http://schemas.microsoft.com/office/drawing/2014/main" id="{00000000-0008-0000-0000-000007E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Reports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29</xdr:row>
      <xdr:rowOff>0</xdr:rowOff>
    </xdr:from>
    <xdr:to>
      <xdr:col>11</xdr:col>
      <xdr:colOff>514350</xdr:colOff>
      <xdr:row>43</xdr:row>
      <xdr:rowOff>76200</xdr:rowOff>
    </xdr:to>
    <xdr:graphicFrame macro="">
      <xdr:nvGraphicFramePr>
        <xdr:cNvPr id="7" name="Chart 6"/>
        <xdr:cNvGraphicFramePr/>
      </xdr:nvGraphicFramePr>
      <xdr:xfrm>
        <a:off x="190500" y="4010025"/>
        <a:ext cx="5486400" cy="27432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52</xdr:row>
      <xdr:rowOff>0</xdr:rowOff>
    </xdr:from>
    <xdr:to>
      <xdr:col>11</xdr:col>
      <xdr:colOff>514350</xdr:colOff>
      <xdr:row>66</xdr:row>
      <xdr:rowOff>76200</xdr:rowOff>
    </xdr:to>
    <xdr:graphicFrame macro="">
      <xdr:nvGraphicFramePr>
        <xdr:cNvPr id="11" name="Chart 10"/>
        <xdr:cNvGraphicFramePr/>
      </xdr:nvGraphicFramePr>
      <xdr:xfrm>
        <a:off x="190500" y="8582025"/>
        <a:ext cx="5486400" cy="27432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78</xdr:row>
      <xdr:rowOff>0</xdr:rowOff>
    </xdr:from>
    <xdr:to>
      <xdr:col>11</xdr:col>
      <xdr:colOff>514350</xdr:colOff>
      <xdr:row>92</xdr:row>
      <xdr:rowOff>76200</xdr:rowOff>
    </xdr:to>
    <xdr:graphicFrame macro="">
      <xdr:nvGraphicFramePr>
        <xdr:cNvPr id="12" name="Chart 11"/>
        <xdr:cNvGraphicFramePr/>
      </xdr:nvGraphicFramePr>
      <xdr:xfrm>
        <a:off x="190500" y="13725525"/>
        <a:ext cx="5486400" cy="274320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141</xdr:row>
      <xdr:rowOff>0</xdr:rowOff>
    </xdr:from>
    <xdr:to>
      <xdr:col>11</xdr:col>
      <xdr:colOff>1285875</xdr:colOff>
      <xdr:row>158</xdr:row>
      <xdr:rowOff>76200</xdr:rowOff>
    </xdr:to>
    <xdr:graphicFrame macro="">
      <xdr:nvGraphicFramePr>
        <xdr:cNvPr id="13" name="Chart 12"/>
        <xdr:cNvGraphicFramePr/>
      </xdr:nvGraphicFramePr>
      <xdr:xfrm>
        <a:off x="190500" y="26108025"/>
        <a:ext cx="6257925" cy="407670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176</xdr:row>
      <xdr:rowOff>0</xdr:rowOff>
    </xdr:from>
    <xdr:to>
      <xdr:col>12</xdr:col>
      <xdr:colOff>76200</xdr:colOff>
      <xdr:row>190</xdr:row>
      <xdr:rowOff>76200</xdr:rowOff>
    </xdr:to>
    <xdr:graphicFrame macro="">
      <xdr:nvGraphicFramePr>
        <xdr:cNvPr id="8" name="Chart 7"/>
        <xdr:cNvGraphicFramePr/>
      </xdr:nvGraphicFramePr>
      <xdr:xfrm>
        <a:off x="190500" y="34109025"/>
        <a:ext cx="6400800" cy="2743200"/>
      </xdr:xfrm>
      <a:graphic>
        <a:graphicData uri="http://schemas.openxmlformats.org/drawingml/2006/chart">
          <c:chart xmlns:c="http://schemas.openxmlformats.org/drawingml/2006/chart" r:id="rId5"/>
        </a:graphicData>
      </a:graphic>
    </xdr:graphicFrame>
    <xdr:clientData/>
  </xdr:twoCellAnchor>
  <xdr:twoCellAnchor>
    <xdr:from>
      <xdr:col>7</xdr:col>
      <xdr:colOff>190500</xdr:colOff>
      <xdr:row>197</xdr:row>
      <xdr:rowOff>0</xdr:rowOff>
    </xdr:from>
    <xdr:to>
      <xdr:col>12</xdr:col>
      <xdr:colOff>676275</xdr:colOff>
      <xdr:row>210</xdr:row>
      <xdr:rowOff>152400</xdr:rowOff>
    </xdr:to>
    <xdr:graphicFrame macro="">
      <xdr:nvGraphicFramePr>
        <xdr:cNvPr id="9" name="Chart 8"/>
        <xdr:cNvGraphicFramePr/>
      </xdr:nvGraphicFramePr>
      <xdr:xfrm>
        <a:off x="190500" y="38871525"/>
        <a:ext cx="7000875" cy="2628900"/>
      </xdr:xfrm>
      <a:graphic>
        <a:graphicData uri="http://schemas.openxmlformats.org/drawingml/2006/chart">
          <c:chart xmlns:c="http://schemas.openxmlformats.org/drawingml/2006/chart" r:id="rId6"/>
        </a:graphicData>
      </a:graphic>
    </xdr:graphicFrame>
    <xdr:clientData/>
  </xdr:twoCellAnchor>
  <xdr:twoCellAnchor>
    <xdr:from>
      <xdr:col>7</xdr:col>
      <xdr:colOff>190500</xdr:colOff>
      <xdr:row>217</xdr:row>
      <xdr:rowOff>0</xdr:rowOff>
    </xdr:from>
    <xdr:to>
      <xdr:col>10</xdr:col>
      <xdr:colOff>1343025</xdr:colOff>
      <xdr:row>227</xdr:row>
      <xdr:rowOff>38100</xdr:rowOff>
    </xdr:to>
    <xdr:graphicFrame macro="">
      <xdr:nvGraphicFramePr>
        <xdr:cNvPr id="10" name="Chart 9"/>
        <xdr:cNvGraphicFramePr/>
      </xdr:nvGraphicFramePr>
      <xdr:xfrm>
        <a:off x="190500" y="42681525"/>
        <a:ext cx="4962525" cy="1943100"/>
      </xdr:xfrm>
      <a:graphic>
        <a:graphicData uri="http://schemas.openxmlformats.org/drawingml/2006/chart">
          <c:chart xmlns:c="http://schemas.openxmlformats.org/drawingml/2006/chart" r:id="rId7"/>
        </a:graphicData>
      </a:graphic>
    </xdr:graphicFrame>
    <xdr:clientData/>
  </xdr:twoCellAnchor>
  <xdr:twoCellAnchor>
    <xdr:from>
      <xdr:col>8</xdr:col>
      <xdr:colOff>0</xdr:colOff>
      <xdr:row>231</xdr:row>
      <xdr:rowOff>190500</xdr:rowOff>
    </xdr:from>
    <xdr:to>
      <xdr:col>11</xdr:col>
      <xdr:colOff>1266825</xdr:colOff>
      <xdr:row>258</xdr:row>
      <xdr:rowOff>104775</xdr:rowOff>
    </xdr:to>
    <xdr:graphicFrame macro="">
      <xdr:nvGraphicFramePr>
        <xdr:cNvPr id="14" name="Chart 13"/>
        <xdr:cNvGraphicFramePr/>
      </xdr:nvGraphicFramePr>
      <xdr:xfrm>
        <a:off x="190500" y="45539025"/>
        <a:ext cx="6238875" cy="5057775"/>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271</xdr:row>
      <xdr:rowOff>0</xdr:rowOff>
    </xdr:from>
    <xdr:to>
      <xdr:col>10</xdr:col>
      <xdr:colOff>952500</xdr:colOff>
      <xdr:row>285</xdr:row>
      <xdr:rowOff>76200</xdr:rowOff>
    </xdr:to>
    <xdr:graphicFrame macro="">
      <xdr:nvGraphicFramePr>
        <xdr:cNvPr id="15" name="Chart 14"/>
        <xdr:cNvGraphicFramePr/>
      </xdr:nvGraphicFramePr>
      <xdr:xfrm>
        <a:off x="190500" y="53540025"/>
        <a:ext cx="4572000" cy="2743200"/>
      </xdr:xfrm>
      <a:graphic>
        <a:graphicData uri="http://schemas.openxmlformats.org/drawingml/2006/chart">
          <c:chart xmlns:c="http://schemas.openxmlformats.org/drawingml/2006/chart" r:id="rId9"/>
        </a:graphicData>
      </a:graphic>
    </xdr:graphicFrame>
    <xdr:clientData/>
  </xdr:twoCellAnchor>
  <xdr:twoCellAnchor>
    <xdr:from>
      <xdr:col>7</xdr:col>
      <xdr:colOff>190500</xdr:colOff>
      <xdr:row>293</xdr:row>
      <xdr:rowOff>0</xdr:rowOff>
    </xdr:from>
    <xdr:to>
      <xdr:col>11</xdr:col>
      <xdr:colOff>200025</xdr:colOff>
      <xdr:row>307</xdr:row>
      <xdr:rowOff>76200</xdr:rowOff>
    </xdr:to>
    <xdr:graphicFrame macro="">
      <xdr:nvGraphicFramePr>
        <xdr:cNvPr id="16" name="Chart 15"/>
        <xdr:cNvGraphicFramePr/>
      </xdr:nvGraphicFramePr>
      <xdr:xfrm>
        <a:off x="190500" y="57731025"/>
        <a:ext cx="5172075" cy="274320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316</xdr:row>
      <xdr:rowOff>0</xdr:rowOff>
    </xdr:from>
    <xdr:to>
      <xdr:col>10</xdr:col>
      <xdr:colOff>952500</xdr:colOff>
      <xdr:row>330</xdr:row>
      <xdr:rowOff>76200</xdr:rowOff>
    </xdr:to>
    <xdr:graphicFrame macro="">
      <xdr:nvGraphicFramePr>
        <xdr:cNvPr id="18" name="Chart 17"/>
        <xdr:cNvGraphicFramePr/>
      </xdr:nvGraphicFramePr>
      <xdr:xfrm>
        <a:off x="190500" y="62493525"/>
        <a:ext cx="4572000" cy="2743200"/>
      </xdr:xfrm>
      <a:graphic>
        <a:graphicData uri="http://schemas.openxmlformats.org/drawingml/2006/chart">
          <c:chart xmlns:c="http://schemas.openxmlformats.org/drawingml/2006/chart" r:id="rId11"/>
        </a:graphicData>
      </a:graphic>
    </xdr:graphicFrame>
    <xdr:clientData/>
  </xdr:twoCellAnchor>
  <xdr:twoCellAnchor>
    <xdr:from>
      <xdr:col>8</xdr:col>
      <xdr:colOff>0</xdr:colOff>
      <xdr:row>358</xdr:row>
      <xdr:rowOff>0</xdr:rowOff>
    </xdr:from>
    <xdr:to>
      <xdr:col>10</xdr:col>
      <xdr:colOff>952500</xdr:colOff>
      <xdr:row>372</xdr:row>
      <xdr:rowOff>76200</xdr:rowOff>
    </xdr:to>
    <xdr:graphicFrame macro="">
      <xdr:nvGraphicFramePr>
        <xdr:cNvPr id="20" name="Chart 19"/>
        <xdr:cNvGraphicFramePr/>
      </xdr:nvGraphicFramePr>
      <xdr:xfrm>
        <a:off x="190500" y="70875525"/>
        <a:ext cx="4572000" cy="2743200"/>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380</xdr:row>
      <xdr:rowOff>0</xdr:rowOff>
    </xdr:from>
    <xdr:to>
      <xdr:col>10</xdr:col>
      <xdr:colOff>952500</xdr:colOff>
      <xdr:row>396</xdr:row>
      <xdr:rowOff>19050</xdr:rowOff>
    </xdr:to>
    <xdr:graphicFrame macro="">
      <xdr:nvGraphicFramePr>
        <xdr:cNvPr id="22" name="Chart 21"/>
        <xdr:cNvGraphicFramePr/>
      </xdr:nvGraphicFramePr>
      <xdr:xfrm>
        <a:off x="190500" y="75257025"/>
        <a:ext cx="4572000" cy="3067050"/>
      </xdr:xfrm>
      <a:graphic>
        <a:graphicData uri="http://schemas.openxmlformats.org/drawingml/2006/chart">
          <c:chart xmlns:c="http://schemas.openxmlformats.org/drawingml/2006/chart" r:id="rId13"/>
        </a:graphicData>
      </a:graphic>
    </xdr:graphicFrame>
    <xdr:clientData/>
  </xdr:twoCellAnchor>
  <xdr:twoCellAnchor>
    <xdr:from>
      <xdr:col>8</xdr:col>
      <xdr:colOff>0</xdr:colOff>
      <xdr:row>335</xdr:row>
      <xdr:rowOff>0</xdr:rowOff>
    </xdr:from>
    <xdr:to>
      <xdr:col>10</xdr:col>
      <xdr:colOff>952500</xdr:colOff>
      <xdr:row>349</xdr:row>
      <xdr:rowOff>76200</xdr:rowOff>
    </xdr:to>
    <xdr:graphicFrame macro="">
      <xdr:nvGraphicFramePr>
        <xdr:cNvPr id="17" name="Chart 16"/>
        <xdr:cNvGraphicFramePr/>
      </xdr:nvGraphicFramePr>
      <xdr:xfrm>
        <a:off x="190500" y="66303525"/>
        <a:ext cx="4572000" cy="2743200"/>
      </xdr:xfrm>
      <a:graphic>
        <a:graphicData uri="http://schemas.openxmlformats.org/drawingml/2006/chart">
          <c:chart xmlns:c="http://schemas.openxmlformats.org/drawingml/2006/chart" r:id="rId14"/>
        </a:graphicData>
      </a:graphic>
    </xdr:graphicFrame>
    <xdr:clientData/>
  </xdr:twoCellAnchor>
  <xdr:twoCellAnchor>
    <xdr:from>
      <xdr:col>8</xdr:col>
      <xdr:colOff>0</xdr:colOff>
      <xdr:row>101</xdr:row>
      <xdr:rowOff>0</xdr:rowOff>
    </xdr:from>
    <xdr:to>
      <xdr:col>10</xdr:col>
      <xdr:colOff>952500</xdr:colOff>
      <xdr:row>115</xdr:row>
      <xdr:rowOff>76200</xdr:rowOff>
    </xdr:to>
    <xdr:graphicFrame macro="">
      <xdr:nvGraphicFramePr>
        <xdr:cNvPr id="19" name="Chart 18"/>
        <xdr:cNvGraphicFramePr/>
      </xdr:nvGraphicFramePr>
      <xdr:xfrm>
        <a:off x="190500" y="18297525"/>
        <a:ext cx="4572000" cy="2743200"/>
      </xdr:xfrm>
      <a:graphic>
        <a:graphicData uri="http://schemas.openxmlformats.org/drawingml/2006/chart">
          <c:chart xmlns:c="http://schemas.openxmlformats.org/drawingml/2006/chart" r:id="rId15"/>
        </a:graphicData>
      </a:graphic>
    </xdr:graphicFrame>
    <xdr:clientData/>
  </xdr:twoCellAnchor>
  <xdr:twoCellAnchor>
    <xdr:from>
      <xdr:col>21</xdr:col>
      <xdr:colOff>0</xdr:colOff>
      <xdr:row>29</xdr:row>
      <xdr:rowOff>0</xdr:rowOff>
    </xdr:from>
    <xdr:to>
      <xdr:col>24</xdr:col>
      <xdr:colOff>514350</xdr:colOff>
      <xdr:row>43</xdr:row>
      <xdr:rowOff>76200</xdr:rowOff>
    </xdr:to>
    <xdr:graphicFrame macro="">
      <xdr:nvGraphicFramePr>
        <xdr:cNvPr id="21" name="Chart 20"/>
        <xdr:cNvGraphicFramePr/>
      </xdr:nvGraphicFramePr>
      <xdr:xfrm>
        <a:off x="7458075" y="4010025"/>
        <a:ext cx="5486400" cy="2743200"/>
      </xdr:xfrm>
      <a:graphic>
        <a:graphicData uri="http://schemas.openxmlformats.org/drawingml/2006/chart">
          <c:chart xmlns:c="http://schemas.openxmlformats.org/drawingml/2006/chart" r:id="rId16"/>
        </a:graphicData>
      </a:graphic>
    </xdr:graphicFrame>
    <xdr:clientData/>
  </xdr:twoCellAnchor>
  <xdr:twoCellAnchor>
    <xdr:from>
      <xdr:col>21</xdr:col>
      <xdr:colOff>0</xdr:colOff>
      <xdr:row>52</xdr:row>
      <xdr:rowOff>0</xdr:rowOff>
    </xdr:from>
    <xdr:to>
      <xdr:col>24</xdr:col>
      <xdr:colOff>514350</xdr:colOff>
      <xdr:row>66</xdr:row>
      <xdr:rowOff>76200</xdr:rowOff>
    </xdr:to>
    <xdr:graphicFrame macro="">
      <xdr:nvGraphicFramePr>
        <xdr:cNvPr id="23" name="Chart 22"/>
        <xdr:cNvGraphicFramePr/>
      </xdr:nvGraphicFramePr>
      <xdr:xfrm>
        <a:off x="7458075" y="8582025"/>
        <a:ext cx="5486400" cy="2743200"/>
      </xdr:xfrm>
      <a:graphic>
        <a:graphicData uri="http://schemas.openxmlformats.org/drawingml/2006/chart">
          <c:chart xmlns:c="http://schemas.openxmlformats.org/drawingml/2006/chart" r:id="rId17"/>
        </a:graphicData>
      </a:graphic>
    </xdr:graphicFrame>
    <xdr:clientData/>
  </xdr:twoCellAnchor>
  <xdr:twoCellAnchor>
    <xdr:from>
      <xdr:col>21</xdr:col>
      <xdr:colOff>0</xdr:colOff>
      <xdr:row>78</xdr:row>
      <xdr:rowOff>0</xdr:rowOff>
    </xdr:from>
    <xdr:to>
      <xdr:col>24</xdr:col>
      <xdr:colOff>514350</xdr:colOff>
      <xdr:row>92</xdr:row>
      <xdr:rowOff>76200</xdr:rowOff>
    </xdr:to>
    <xdr:graphicFrame macro="">
      <xdr:nvGraphicFramePr>
        <xdr:cNvPr id="24" name="Chart 23"/>
        <xdr:cNvGraphicFramePr/>
      </xdr:nvGraphicFramePr>
      <xdr:xfrm>
        <a:off x="7458075" y="13725525"/>
        <a:ext cx="5486400" cy="2743200"/>
      </xdr:xfrm>
      <a:graphic>
        <a:graphicData uri="http://schemas.openxmlformats.org/drawingml/2006/chart">
          <c:chart xmlns:c="http://schemas.openxmlformats.org/drawingml/2006/chart" r:id="rId18"/>
        </a:graphicData>
      </a:graphic>
    </xdr:graphicFrame>
    <xdr:clientData/>
  </xdr:twoCellAnchor>
  <xdr:twoCellAnchor>
    <xdr:from>
      <xdr:col>21</xdr:col>
      <xdr:colOff>0</xdr:colOff>
      <xdr:row>141</xdr:row>
      <xdr:rowOff>0</xdr:rowOff>
    </xdr:from>
    <xdr:to>
      <xdr:col>24</xdr:col>
      <xdr:colOff>1285875</xdr:colOff>
      <xdr:row>158</xdr:row>
      <xdr:rowOff>76200</xdr:rowOff>
    </xdr:to>
    <xdr:graphicFrame macro="">
      <xdr:nvGraphicFramePr>
        <xdr:cNvPr id="25" name="Chart 24"/>
        <xdr:cNvGraphicFramePr/>
      </xdr:nvGraphicFramePr>
      <xdr:xfrm>
        <a:off x="7458075" y="26108025"/>
        <a:ext cx="6257925" cy="4076700"/>
      </xdr:xfrm>
      <a:graphic>
        <a:graphicData uri="http://schemas.openxmlformats.org/drawingml/2006/chart">
          <c:chart xmlns:c="http://schemas.openxmlformats.org/drawingml/2006/chart" r:id="rId19"/>
        </a:graphicData>
      </a:graphic>
    </xdr:graphicFrame>
    <xdr:clientData/>
  </xdr:twoCellAnchor>
  <xdr:twoCellAnchor>
    <xdr:from>
      <xdr:col>21</xdr:col>
      <xdr:colOff>0</xdr:colOff>
      <xdr:row>176</xdr:row>
      <xdr:rowOff>0</xdr:rowOff>
    </xdr:from>
    <xdr:to>
      <xdr:col>25</xdr:col>
      <xdr:colOff>76200</xdr:colOff>
      <xdr:row>190</xdr:row>
      <xdr:rowOff>76200</xdr:rowOff>
    </xdr:to>
    <xdr:graphicFrame macro="">
      <xdr:nvGraphicFramePr>
        <xdr:cNvPr id="26" name="Chart 25"/>
        <xdr:cNvGraphicFramePr/>
      </xdr:nvGraphicFramePr>
      <xdr:xfrm>
        <a:off x="7458075" y="34109025"/>
        <a:ext cx="6400800" cy="2743200"/>
      </xdr:xfrm>
      <a:graphic>
        <a:graphicData uri="http://schemas.openxmlformats.org/drawingml/2006/chart">
          <c:chart xmlns:c="http://schemas.openxmlformats.org/drawingml/2006/chart" r:id="rId20"/>
        </a:graphicData>
      </a:graphic>
    </xdr:graphicFrame>
    <xdr:clientData/>
  </xdr:twoCellAnchor>
  <xdr:twoCellAnchor>
    <xdr:from>
      <xdr:col>20</xdr:col>
      <xdr:colOff>190500</xdr:colOff>
      <xdr:row>197</xdr:row>
      <xdr:rowOff>0</xdr:rowOff>
    </xdr:from>
    <xdr:to>
      <xdr:col>25</xdr:col>
      <xdr:colOff>676275</xdr:colOff>
      <xdr:row>210</xdr:row>
      <xdr:rowOff>152400</xdr:rowOff>
    </xdr:to>
    <xdr:graphicFrame macro="">
      <xdr:nvGraphicFramePr>
        <xdr:cNvPr id="27" name="Chart 26"/>
        <xdr:cNvGraphicFramePr/>
      </xdr:nvGraphicFramePr>
      <xdr:xfrm>
        <a:off x="7458075" y="38871525"/>
        <a:ext cx="7000875" cy="2628900"/>
      </xdr:xfrm>
      <a:graphic>
        <a:graphicData uri="http://schemas.openxmlformats.org/drawingml/2006/chart">
          <c:chart xmlns:c="http://schemas.openxmlformats.org/drawingml/2006/chart" r:id="rId21"/>
        </a:graphicData>
      </a:graphic>
    </xdr:graphicFrame>
    <xdr:clientData/>
  </xdr:twoCellAnchor>
  <xdr:twoCellAnchor>
    <xdr:from>
      <xdr:col>20</xdr:col>
      <xdr:colOff>190500</xdr:colOff>
      <xdr:row>217</xdr:row>
      <xdr:rowOff>0</xdr:rowOff>
    </xdr:from>
    <xdr:to>
      <xdr:col>23</xdr:col>
      <xdr:colOff>1343025</xdr:colOff>
      <xdr:row>227</xdr:row>
      <xdr:rowOff>38100</xdr:rowOff>
    </xdr:to>
    <xdr:graphicFrame macro="">
      <xdr:nvGraphicFramePr>
        <xdr:cNvPr id="28" name="Chart 27"/>
        <xdr:cNvGraphicFramePr/>
      </xdr:nvGraphicFramePr>
      <xdr:xfrm>
        <a:off x="7458075" y="42681525"/>
        <a:ext cx="4962525" cy="1943100"/>
      </xdr:xfrm>
      <a:graphic>
        <a:graphicData uri="http://schemas.openxmlformats.org/drawingml/2006/chart">
          <c:chart xmlns:c="http://schemas.openxmlformats.org/drawingml/2006/chart" r:id="rId22"/>
        </a:graphicData>
      </a:graphic>
    </xdr:graphicFrame>
    <xdr:clientData/>
  </xdr:twoCellAnchor>
  <xdr:twoCellAnchor>
    <xdr:from>
      <xdr:col>21</xdr:col>
      <xdr:colOff>0</xdr:colOff>
      <xdr:row>231</xdr:row>
      <xdr:rowOff>190500</xdr:rowOff>
    </xdr:from>
    <xdr:to>
      <xdr:col>24</xdr:col>
      <xdr:colOff>1266825</xdr:colOff>
      <xdr:row>258</xdr:row>
      <xdr:rowOff>104775</xdr:rowOff>
    </xdr:to>
    <xdr:graphicFrame macro="">
      <xdr:nvGraphicFramePr>
        <xdr:cNvPr id="29" name="Chart 28"/>
        <xdr:cNvGraphicFramePr/>
      </xdr:nvGraphicFramePr>
      <xdr:xfrm>
        <a:off x="7458075" y="45539025"/>
        <a:ext cx="6238875" cy="5057775"/>
      </xdr:xfrm>
      <a:graphic>
        <a:graphicData uri="http://schemas.openxmlformats.org/drawingml/2006/chart">
          <c:chart xmlns:c="http://schemas.openxmlformats.org/drawingml/2006/chart" r:id="rId23"/>
        </a:graphicData>
      </a:graphic>
    </xdr:graphicFrame>
    <xdr:clientData/>
  </xdr:twoCellAnchor>
  <xdr:twoCellAnchor>
    <xdr:from>
      <xdr:col>21</xdr:col>
      <xdr:colOff>0</xdr:colOff>
      <xdr:row>271</xdr:row>
      <xdr:rowOff>0</xdr:rowOff>
    </xdr:from>
    <xdr:to>
      <xdr:col>23</xdr:col>
      <xdr:colOff>952500</xdr:colOff>
      <xdr:row>285</xdr:row>
      <xdr:rowOff>76200</xdr:rowOff>
    </xdr:to>
    <xdr:graphicFrame macro="">
      <xdr:nvGraphicFramePr>
        <xdr:cNvPr id="30" name="Chart 29"/>
        <xdr:cNvGraphicFramePr/>
      </xdr:nvGraphicFramePr>
      <xdr:xfrm>
        <a:off x="7458075" y="53540025"/>
        <a:ext cx="4572000" cy="2743200"/>
      </xdr:xfrm>
      <a:graphic>
        <a:graphicData uri="http://schemas.openxmlformats.org/drawingml/2006/chart">
          <c:chart xmlns:c="http://schemas.openxmlformats.org/drawingml/2006/chart" r:id="rId24"/>
        </a:graphicData>
      </a:graphic>
    </xdr:graphicFrame>
    <xdr:clientData/>
  </xdr:twoCellAnchor>
  <xdr:twoCellAnchor>
    <xdr:from>
      <xdr:col>20</xdr:col>
      <xdr:colOff>190500</xdr:colOff>
      <xdr:row>293</xdr:row>
      <xdr:rowOff>0</xdr:rowOff>
    </xdr:from>
    <xdr:to>
      <xdr:col>24</xdr:col>
      <xdr:colOff>200025</xdr:colOff>
      <xdr:row>307</xdr:row>
      <xdr:rowOff>76200</xdr:rowOff>
    </xdr:to>
    <xdr:graphicFrame macro="">
      <xdr:nvGraphicFramePr>
        <xdr:cNvPr id="31" name="Chart 30"/>
        <xdr:cNvGraphicFramePr/>
      </xdr:nvGraphicFramePr>
      <xdr:xfrm>
        <a:off x="7458075" y="57731025"/>
        <a:ext cx="5172075" cy="2743200"/>
      </xdr:xfrm>
      <a:graphic>
        <a:graphicData uri="http://schemas.openxmlformats.org/drawingml/2006/chart">
          <c:chart xmlns:c="http://schemas.openxmlformats.org/drawingml/2006/chart" r:id="rId25"/>
        </a:graphicData>
      </a:graphic>
    </xdr:graphicFrame>
    <xdr:clientData/>
  </xdr:twoCellAnchor>
  <xdr:twoCellAnchor>
    <xdr:from>
      <xdr:col>21</xdr:col>
      <xdr:colOff>0</xdr:colOff>
      <xdr:row>316</xdr:row>
      <xdr:rowOff>0</xdr:rowOff>
    </xdr:from>
    <xdr:to>
      <xdr:col>23</xdr:col>
      <xdr:colOff>952500</xdr:colOff>
      <xdr:row>330</xdr:row>
      <xdr:rowOff>76200</xdr:rowOff>
    </xdr:to>
    <xdr:graphicFrame macro="">
      <xdr:nvGraphicFramePr>
        <xdr:cNvPr id="32" name="Chart 31"/>
        <xdr:cNvGraphicFramePr/>
      </xdr:nvGraphicFramePr>
      <xdr:xfrm>
        <a:off x="7458075" y="62493525"/>
        <a:ext cx="4572000" cy="2743200"/>
      </xdr:xfrm>
      <a:graphic>
        <a:graphicData uri="http://schemas.openxmlformats.org/drawingml/2006/chart">
          <c:chart xmlns:c="http://schemas.openxmlformats.org/drawingml/2006/chart" r:id="rId26"/>
        </a:graphicData>
      </a:graphic>
    </xdr:graphicFrame>
    <xdr:clientData/>
  </xdr:twoCellAnchor>
  <xdr:twoCellAnchor>
    <xdr:from>
      <xdr:col>21</xdr:col>
      <xdr:colOff>0</xdr:colOff>
      <xdr:row>358</xdr:row>
      <xdr:rowOff>0</xdr:rowOff>
    </xdr:from>
    <xdr:to>
      <xdr:col>23</xdr:col>
      <xdr:colOff>952500</xdr:colOff>
      <xdr:row>372</xdr:row>
      <xdr:rowOff>76200</xdr:rowOff>
    </xdr:to>
    <xdr:graphicFrame macro="">
      <xdr:nvGraphicFramePr>
        <xdr:cNvPr id="33" name="Chart 32"/>
        <xdr:cNvGraphicFramePr/>
      </xdr:nvGraphicFramePr>
      <xdr:xfrm>
        <a:off x="7458075" y="70875525"/>
        <a:ext cx="4572000" cy="2743200"/>
      </xdr:xfrm>
      <a:graphic>
        <a:graphicData uri="http://schemas.openxmlformats.org/drawingml/2006/chart">
          <c:chart xmlns:c="http://schemas.openxmlformats.org/drawingml/2006/chart" r:id="rId27"/>
        </a:graphicData>
      </a:graphic>
    </xdr:graphicFrame>
    <xdr:clientData/>
  </xdr:twoCellAnchor>
  <xdr:twoCellAnchor>
    <xdr:from>
      <xdr:col>21</xdr:col>
      <xdr:colOff>0</xdr:colOff>
      <xdr:row>380</xdr:row>
      <xdr:rowOff>0</xdr:rowOff>
    </xdr:from>
    <xdr:to>
      <xdr:col>23</xdr:col>
      <xdr:colOff>952500</xdr:colOff>
      <xdr:row>396</xdr:row>
      <xdr:rowOff>19050</xdr:rowOff>
    </xdr:to>
    <xdr:graphicFrame macro="">
      <xdr:nvGraphicFramePr>
        <xdr:cNvPr id="34" name="Chart 33"/>
        <xdr:cNvGraphicFramePr/>
      </xdr:nvGraphicFramePr>
      <xdr:xfrm>
        <a:off x="7458075" y="75257025"/>
        <a:ext cx="4572000" cy="3067050"/>
      </xdr:xfrm>
      <a:graphic>
        <a:graphicData uri="http://schemas.openxmlformats.org/drawingml/2006/chart">
          <c:chart xmlns:c="http://schemas.openxmlformats.org/drawingml/2006/chart" r:id="rId28"/>
        </a:graphicData>
      </a:graphic>
    </xdr:graphicFrame>
    <xdr:clientData/>
  </xdr:twoCellAnchor>
  <xdr:twoCellAnchor>
    <xdr:from>
      <xdr:col>21</xdr:col>
      <xdr:colOff>0</xdr:colOff>
      <xdr:row>335</xdr:row>
      <xdr:rowOff>0</xdr:rowOff>
    </xdr:from>
    <xdr:to>
      <xdr:col>23</xdr:col>
      <xdr:colOff>952500</xdr:colOff>
      <xdr:row>349</xdr:row>
      <xdr:rowOff>76200</xdr:rowOff>
    </xdr:to>
    <xdr:graphicFrame macro="">
      <xdr:nvGraphicFramePr>
        <xdr:cNvPr id="35" name="Chart 34"/>
        <xdr:cNvGraphicFramePr/>
      </xdr:nvGraphicFramePr>
      <xdr:xfrm>
        <a:off x="7458075" y="66303525"/>
        <a:ext cx="4572000" cy="2743200"/>
      </xdr:xfrm>
      <a:graphic>
        <a:graphicData uri="http://schemas.openxmlformats.org/drawingml/2006/chart">
          <c:chart xmlns:c="http://schemas.openxmlformats.org/drawingml/2006/chart" r:id="rId29"/>
        </a:graphicData>
      </a:graphic>
    </xdr:graphicFrame>
    <xdr:clientData/>
  </xdr:twoCellAnchor>
  <xdr:twoCellAnchor>
    <xdr:from>
      <xdr:col>21</xdr:col>
      <xdr:colOff>0</xdr:colOff>
      <xdr:row>101</xdr:row>
      <xdr:rowOff>0</xdr:rowOff>
    </xdr:from>
    <xdr:to>
      <xdr:col>23</xdr:col>
      <xdr:colOff>952500</xdr:colOff>
      <xdr:row>115</xdr:row>
      <xdr:rowOff>76200</xdr:rowOff>
    </xdr:to>
    <xdr:graphicFrame macro="">
      <xdr:nvGraphicFramePr>
        <xdr:cNvPr id="36" name="Chart 35"/>
        <xdr:cNvGraphicFramePr/>
      </xdr:nvGraphicFramePr>
      <xdr:xfrm>
        <a:off x="7458075" y="18297525"/>
        <a:ext cx="4572000" cy="2743200"/>
      </xdr:xfrm>
      <a:graphic>
        <a:graphicData uri="http://schemas.openxmlformats.org/drawingml/2006/chart">
          <c:chart xmlns:c="http://schemas.openxmlformats.org/drawingml/2006/chart" r:id="rId30"/>
        </a:graphicData>
      </a:graphic>
    </xdr:graphicFrame>
    <xdr:clientData/>
  </xdr:twoCellAnchor>
  <xdr:twoCellAnchor>
    <xdr:from>
      <xdr:col>8</xdr:col>
      <xdr:colOff>0</xdr:colOff>
      <xdr:row>121</xdr:row>
      <xdr:rowOff>0</xdr:rowOff>
    </xdr:from>
    <xdr:to>
      <xdr:col>10</xdr:col>
      <xdr:colOff>952500</xdr:colOff>
      <xdr:row>135</xdr:row>
      <xdr:rowOff>76200</xdr:rowOff>
    </xdr:to>
    <xdr:graphicFrame macro="">
      <xdr:nvGraphicFramePr>
        <xdr:cNvPr id="37" name="Chart 36"/>
        <xdr:cNvGraphicFramePr/>
      </xdr:nvGraphicFramePr>
      <xdr:xfrm>
        <a:off x="190500" y="22107525"/>
        <a:ext cx="4572000" cy="2743200"/>
      </xdr:xfrm>
      <a:graphic>
        <a:graphicData uri="http://schemas.openxmlformats.org/drawingml/2006/chart">
          <c:chart xmlns:c="http://schemas.openxmlformats.org/drawingml/2006/chart" r:id="rId31"/>
        </a:graphicData>
      </a:graphic>
    </xdr:graphicFrame>
    <xdr:clientData/>
  </xdr:twoCellAnchor>
  <xdr:twoCellAnchor>
    <xdr:from>
      <xdr:col>21</xdr:col>
      <xdr:colOff>0</xdr:colOff>
      <xdr:row>121</xdr:row>
      <xdr:rowOff>0</xdr:rowOff>
    </xdr:from>
    <xdr:to>
      <xdr:col>23</xdr:col>
      <xdr:colOff>952500</xdr:colOff>
      <xdr:row>135</xdr:row>
      <xdr:rowOff>76200</xdr:rowOff>
    </xdr:to>
    <xdr:graphicFrame macro="">
      <xdr:nvGraphicFramePr>
        <xdr:cNvPr id="38" name="Chart 37"/>
        <xdr:cNvGraphicFramePr/>
      </xdr:nvGraphicFramePr>
      <xdr:xfrm>
        <a:off x="7458075" y="22107525"/>
        <a:ext cx="4572000" cy="2743200"/>
      </xdr:xfrm>
      <a:graphic>
        <a:graphicData uri="http://schemas.openxmlformats.org/drawingml/2006/chart">
          <c:chart xmlns:c="http://schemas.openxmlformats.org/drawingml/2006/chart" r:id="rId32"/>
        </a:graphicData>
      </a:graphic>
    </xdr:graphicFrame>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47625</xdr:colOff>
          <xdr:row>0</xdr:row>
          <xdr:rowOff>95250</xdr:rowOff>
        </xdr:from>
        <xdr:to>
          <xdr:col>8</xdr:col>
          <xdr:colOff>1876425</xdr:colOff>
          <xdr:row>1</xdr:row>
          <xdr:rowOff>180975</xdr:rowOff>
        </xdr:to>
        <xdr:sp macro="" textlink="">
          <xdr:nvSpPr>
            <xdr:cNvPr id="50177" name="Button 1" hidden="1">
              <a:extLst xmlns:a="http://schemas.openxmlformats.org/drawingml/2006/main">
                <a:ext uri="{63B3BB69-23CF-44E3-9099-C40C66FF867C}">
                  <a14:compatExt spid="_x0000_s50177"/>
                </a:ext>
                <a:ext uri="{FF2B5EF4-FFF2-40B4-BE49-F238E27FC236}">
                  <a16:creationId xmlns:a16="http://schemas.microsoft.com/office/drawing/2014/main" id="{00000000-0008-0000-0100-000001C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Return to Home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0</xdr:colOff>
          <xdr:row>1</xdr:row>
          <xdr:rowOff>152400</xdr:rowOff>
        </xdr:from>
        <xdr:to>
          <xdr:col>2</xdr:col>
          <xdr:colOff>895350</xdr:colOff>
          <xdr:row>1</xdr:row>
          <xdr:rowOff>428625</xdr:rowOff>
        </xdr:to>
        <xdr:sp macro="" textlink="">
          <xdr:nvSpPr>
            <xdr:cNvPr id="33793" name="Button 1" hidden="1">
              <a:extLst xmlns:a="http://schemas.openxmlformats.org/drawingml/2006/main">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Return to Home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xdr:col>
          <xdr:colOff>723900</xdr:colOff>
          <xdr:row>8</xdr:row>
          <xdr:rowOff>180975</xdr:rowOff>
        </xdr:from>
        <xdr:to>
          <xdr:col>4</xdr:col>
          <xdr:colOff>1914525</xdr:colOff>
          <xdr:row>9</xdr:row>
          <xdr:rowOff>219075</xdr:rowOff>
        </xdr:to>
        <xdr:sp macro="" textlink="">
          <xdr:nvSpPr>
            <xdr:cNvPr id="33796" name="Button 4" hidden="1">
              <a:extLst xmlns:a="http://schemas.openxmlformats.org/drawingml/2006/main">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www.nhQualityCampaign.org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5" Type="http://schemas.openxmlformats.org/officeDocument/2006/relationships/ctrlProp" Target="../ctrlProps/ctrlProp2.xml" /><Relationship Id="rId7" Type="http://schemas.openxmlformats.org/officeDocument/2006/relationships/ctrlProp" Target="../ctrlProps/ctrlProp4.xml" /><Relationship Id="rId6" Type="http://schemas.openxmlformats.org/officeDocument/2006/relationships/ctrlProp" Target="../ctrlProps/ctrlProp3.xml" /><Relationship Id="rId9" Type="http://schemas.openxmlformats.org/officeDocument/2006/relationships/ctrlProp" Target="../ctrlProps/ctrlProp6.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13E8C-B460-4740-9199-9CD04CADD834}">
  <sheetPr codeName="Sheet10"/>
  <dimension ref="B2:D20"/>
  <sheetViews>
    <sheetView showGridLines="0" showRowColHeaders="0" tabSelected="1" workbookViewId="0" topLeftCell="A1">
      <selection activeCell="B6" sqref="B6:C6"/>
    </sheetView>
  </sheetViews>
  <sheetFormatPr defaultColWidth="0" defaultRowHeight="15" zeroHeight="1"/>
  <cols>
    <col min="1" max="1" width="1.8515625" style="0" customWidth="1"/>
    <col min="2" max="2" width="25.421875" style="0" customWidth="1"/>
    <col min="3" max="3" width="108.57421875" style="0" customWidth="1"/>
    <col min="4" max="5" width="4.421875" style="0" customWidth="1"/>
    <col min="6" max="16384" width="9.140625" style="0" hidden="1" customWidth="1"/>
  </cols>
  <sheetData>
    <row r="1" ht="6" customHeight="1"/>
    <row r="2" spans="3:4" ht="32.25" customHeight="1">
      <c r="C2" s="58" t="s">
        <v>937</v>
      </c>
      <c r="D2" s="58"/>
    </row>
    <row r="3" spans="3:4" ht="30" customHeight="1">
      <c r="C3" s="68" t="str">
        <f>IF(Variables!B17,"Click ""My Residents"" to begin initial setup for this workbook.",TEXT(Variables!B16,"mmmm yyyy")&amp;" - "&amp;TEXT(EDATE(Variables!B16,11),"mmmm yyyy"))</f>
        <v>Click "My Residents" to begin initial setup for this workbook.</v>
      </c>
      <c r="D3" s="68"/>
    </row>
    <row r="4" spans="2:4" ht="4.5" customHeight="1">
      <c r="B4" s="36"/>
      <c r="C4" s="36"/>
      <c r="D4" s="36"/>
    </row>
    <row r="5" ht="6" customHeight="1"/>
    <row r="6" spans="2:3" ht="105.75" customHeight="1">
      <c r="B6" s="59" t="s">
        <v>1012</v>
      </c>
      <c r="C6" s="60"/>
    </row>
    <row r="7" ht="7.5" customHeight="1"/>
    <row r="8" spans="2:3" ht="32.25" customHeight="1">
      <c r="B8" s="61" t="s">
        <v>859</v>
      </c>
      <c r="C8" s="62"/>
    </row>
    <row r="9" ht="7.5" customHeight="1"/>
    <row r="10" ht="15"/>
    <row r="11" ht="15"/>
    <row r="12" ht="15"/>
    <row r="13" ht="15"/>
    <row r="14" ht="15"/>
    <row r="15" spans="2:3" ht="15.75">
      <c r="B15" s="67" t="s">
        <v>932</v>
      </c>
      <c r="C15" s="67"/>
    </row>
    <row r="16" ht="7.5" customHeight="1" thickBot="1"/>
    <row r="17" spans="2:3" ht="15">
      <c r="B17" s="63" t="s">
        <v>26</v>
      </c>
      <c r="C17" s="64"/>
    </row>
    <row r="18" spans="2:3" ht="36" customHeight="1" thickBot="1">
      <c r="B18" s="65"/>
      <c r="C18" s="66"/>
    </row>
    <row r="19" ht="15"/>
    <row r="20" ht="45" customHeight="1">
      <c r="C20" s="37" t="s">
        <v>812</v>
      </c>
    </row>
    <row r="21" ht="15"/>
    <row r="22" ht="15"/>
    <row r="23" ht="15" hidden="1"/>
  </sheetData>
  <sheetProtection algorithmName="SHA-512" hashValue="PRKvsoTzXIKH0qoUQipBpby7bKL9H7Fu11vMPlUTV4PArmcALhOg6wI8gtPRzMjL5G6qBkZAiy/JAh6euXhzTA==" saltValue="tJl1K19QyrCqe1nNy4Xxyg==" spinCount="100000" sheet="1" scenarios="1" sort="0" autoFilter="0"/>
  <mergeCells count="7">
    <mergeCell ref="C2:D2"/>
    <mergeCell ref="B6:C6"/>
    <mergeCell ref="B8:C8"/>
    <mergeCell ref="B17:C17"/>
    <mergeCell ref="B18:C18"/>
    <mergeCell ref="B15:C15"/>
    <mergeCell ref="C3:D3"/>
  </mergeCell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9393" r:id="rId4" name="Button 1">
              <controlPr defaultSize="0" print="0" autoFill="0" autoPict="0" macro="[0]!Instructions">
                <anchor moveWithCells="1">
                  <from>
                    <xdr:col>1</xdr:col>
                    <xdr:colOff>428625</xdr:colOff>
                    <xdr:row>9</xdr:row>
                    <xdr:rowOff>28575</xdr:rowOff>
                  </from>
                  <to>
                    <xdr:col>2</xdr:col>
                    <xdr:colOff>561975</xdr:colOff>
                    <xdr:row>10</xdr:row>
                    <xdr:rowOff>114300</xdr:rowOff>
                  </to>
                </anchor>
              </controlPr>
            </control>
          </mc:Choice>
        </mc:AlternateContent>
        <mc:AlternateContent>
          <mc:Choice Requires="x14">
            <control xmlns:r="http://schemas.openxmlformats.org/officeDocument/2006/relationships" shapeId="59394" r:id="rId5" name="Button 2">
              <controlPr defaultSize="0" print="0" autoFill="0" autoPict="0" macro="[0]!Deidentified_Data">
                <anchor moveWithCells="1">
                  <from>
                    <xdr:col>1</xdr:col>
                    <xdr:colOff>419100</xdr:colOff>
                    <xdr:row>11</xdr:row>
                    <xdr:rowOff>9525</xdr:rowOff>
                  </from>
                  <to>
                    <xdr:col>2</xdr:col>
                    <xdr:colOff>552450</xdr:colOff>
                    <xdr:row>13</xdr:row>
                    <xdr:rowOff>66675</xdr:rowOff>
                  </to>
                </anchor>
              </controlPr>
            </control>
          </mc:Choice>
        </mc:AlternateContent>
        <mc:AlternateContent>
          <mc:Choice Requires="x14">
            <control xmlns:r="http://schemas.openxmlformats.org/officeDocument/2006/relationships" shapeId="59396" r:id="rId6" name="Button 4">
              <controlPr defaultSize="0" print="0" autoFill="0" autoPict="0" macro="[0]!Finalize_Outcomes">
                <anchor moveWithCells="1">
                  <from>
                    <xdr:col>2</xdr:col>
                    <xdr:colOff>4914900</xdr:colOff>
                    <xdr:row>9</xdr:row>
                    <xdr:rowOff>28575</xdr:rowOff>
                  </from>
                  <to>
                    <xdr:col>2</xdr:col>
                    <xdr:colOff>6743700</xdr:colOff>
                    <xdr:row>10</xdr:row>
                    <xdr:rowOff>114300</xdr:rowOff>
                  </to>
                </anchor>
              </controlPr>
            </control>
          </mc:Choice>
        </mc:AlternateContent>
        <mc:AlternateContent>
          <mc:Choice Requires="x14">
            <control xmlns:r="http://schemas.openxmlformats.org/officeDocument/2006/relationships" shapeId="59397" r:id="rId7" name="Button 5">
              <controlPr defaultSize="0" print="0" autoFill="0" autoPict="0" macro="[0]!Open_Select_Resident">
                <anchor moveWithCells="1">
                  <from>
                    <xdr:col>2</xdr:col>
                    <xdr:colOff>1838325</xdr:colOff>
                    <xdr:row>9</xdr:row>
                    <xdr:rowOff>28575</xdr:rowOff>
                  </from>
                  <to>
                    <xdr:col>2</xdr:col>
                    <xdr:colOff>3667125</xdr:colOff>
                    <xdr:row>10</xdr:row>
                    <xdr:rowOff>114300</xdr:rowOff>
                  </to>
                </anchor>
              </controlPr>
            </control>
          </mc:Choice>
        </mc:AlternateContent>
        <mc:AlternateContent>
          <mc:Choice Requires="x14">
            <control xmlns:r="http://schemas.openxmlformats.org/officeDocument/2006/relationships" shapeId="59398" r:id="rId8" name="Button 6">
              <controlPr defaultSize="0" print="0" autoFill="0" autoPict="0" macro="[0]!Get_Monthly_Outcomes">
                <anchor moveWithCells="1">
                  <from>
                    <xdr:col>2</xdr:col>
                    <xdr:colOff>4914900</xdr:colOff>
                    <xdr:row>11</xdr:row>
                    <xdr:rowOff>47625</xdr:rowOff>
                  </from>
                  <to>
                    <xdr:col>2</xdr:col>
                    <xdr:colOff>6743700</xdr:colOff>
                    <xdr:row>12</xdr:row>
                    <xdr:rowOff>133350</xdr:rowOff>
                  </to>
                </anchor>
              </controlPr>
            </control>
          </mc:Choice>
        </mc:AlternateContent>
        <mc:AlternateContent>
          <mc:Choice Requires="x14">
            <control xmlns:r="http://schemas.openxmlformats.org/officeDocument/2006/relationships" shapeId="59399" r:id="rId9" name="Button 7">
              <controlPr defaultSize="0" print="0" autoFill="0" autoPict="0" macro="[0]!Reports">
                <anchor moveWithCells="1">
                  <from>
                    <xdr:col>2</xdr:col>
                    <xdr:colOff>1838325</xdr:colOff>
                    <xdr:row>11</xdr:row>
                    <xdr:rowOff>47625</xdr:rowOff>
                  </from>
                  <to>
                    <xdr:col>2</xdr:col>
                    <xdr:colOff>3667125</xdr:colOff>
                    <xdr:row>12</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B26"/>
  <sheetViews>
    <sheetView showGridLines="0" showRowColHeaders="0" workbookViewId="0" topLeftCell="A1">
      <selection activeCell="B21" sqref="B21"/>
    </sheetView>
  </sheetViews>
  <sheetFormatPr defaultColWidth="9.140625" defaultRowHeight="15"/>
  <cols>
    <col min="1" max="1" width="30.140625" style="0" bestFit="1" customWidth="1"/>
    <col min="2" max="2" width="10.140625" style="0" customWidth="1"/>
  </cols>
  <sheetData>
    <row r="1" spans="1:2" ht="15">
      <c r="A1" t="s">
        <v>8</v>
      </c>
      <c r="B1" t="s">
        <v>9</v>
      </c>
    </row>
    <row r="2" spans="1:2" ht="15">
      <c r="A2" t="s">
        <v>1</v>
      </c>
      <c r="B2">
        <v>594</v>
      </c>
    </row>
    <row r="3" spans="1:2" ht="15">
      <c r="A3" t="s">
        <v>0</v>
      </c>
      <c r="B3" s="1" t="s">
        <v>1004</v>
      </c>
    </row>
    <row r="4" spans="1:2" ht="15">
      <c r="A4" t="s">
        <v>2</v>
      </c>
      <c r="B4" t="e">
        <f>MATCH(B2,Residents!$A:$A,0)</f>
        <v>#N/A</v>
      </c>
    </row>
    <row r="5" spans="1:2" ht="15">
      <c r="A5" t="s">
        <v>10</v>
      </c>
      <c r="B5">
        <v>0</v>
      </c>
    </row>
    <row r="6" spans="1:2" ht="15">
      <c r="A6" t="s">
        <v>5</v>
      </c>
      <c r="B6">
        <v>2</v>
      </c>
    </row>
    <row r="7" spans="1:2" ht="15">
      <c r="A7" t="s">
        <v>6</v>
      </c>
      <c r="B7">
        <v>0</v>
      </c>
    </row>
    <row r="8" spans="1:2" ht="15">
      <c r="A8" t="s">
        <v>7</v>
      </c>
      <c r="B8" t="s">
        <v>48</v>
      </c>
    </row>
    <row r="9" spans="1:2" ht="15">
      <c r="A9" t="s">
        <v>92</v>
      </c>
      <c r="B9">
        <v>0</v>
      </c>
    </row>
    <row r="10" spans="1:2" ht="15">
      <c r="A10" t="s">
        <v>98</v>
      </c>
      <c r="B10">
        <v>1</v>
      </c>
    </row>
    <row r="11" spans="1:2" ht="15">
      <c r="A11" t="s">
        <v>96</v>
      </c>
      <c r="B11">
        <v>0</v>
      </c>
    </row>
    <row r="12" spans="1:2" ht="15">
      <c r="A12" t="s">
        <v>97</v>
      </c>
      <c r="B12">
        <v>1</v>
      </c>
    </row>
    <row r="13" spans="1:2" ht="15">
      <c r="A13" t="s">
        <v>365</v>
      </c>
      <c r="B13">
        <v>3</v>
      </c>
    </row>
    <row r="14" spans="1:2" ht="15">
      <c r="A14" t="s">
        <v>366</v>
      </c>
      <c r="B14">
        <v>3</v>
      </c>
    </row>
    <row r="15" spans="1:2" ht="15">
      <c r="A15" t="s">
        <v>367</v>
      </c>
      <c r="B15">
        <v>-1</v>
      </c>
    </row>
    <row r="16" spans="1:2" ht="15">
      <c r="A16" t="s">
        <v>441</v>
      </c>
      <c r="B16" s="1">
        <v>43556</v>
      </c>
    </row>
    <row r="17" spans="1:2" ht="15">
      <c r="A17" t="s">
        <v>446</v>
      </c>
      <c r="B17">
        <v>1</v>
      </c>
    </row>
    <row r="18" spans="1:2" ht="15">
      <c r="A18" t="s">
        <v>857</v>
      </c>
      <c r="B18">
        <v>0</v>
      </c>
    </row>
    <row r="19" spans="1:2" ht="15">
      <c r="A19" t="s">
        <v>858</v>
      </c>
      <c r="B19">
        <v>1</v>
      </c>
    </row>
    <row r="20" spans="1:2" ht="15">
      <c r="A20" t="s">
        <v>872</v>
      </c>
      <c r="B20">
        <v>1</v>
      </c>
    </row>
    <row r="21" spans="1:2" ht="15">
      <c r="A21" t="s">
        <v>1002</v>
      </c>
      <c r="B21" s="57"/>
    </row>
    <row r="22" ht="15">
      <c r="A22" t="s">
        <v>1003</v>
      </c>
    </row>
    <row r="23" spans="1:2" ht="15">
      <c r="A23" t="s">
        <v>1007</v>
      </c>
      <c r="B23">
        <v>0</v>
      </c>
    </row>
    <row r="24" ht="15">
      <c r="A24" t="s">
        <v>1006</v>
      </c>
    </row>
    <row r="25" spans="1:2" ht="15">
      <c r="A25" t="s">
        <v>1010</v>
      </c>
      <c r="B25">
        <v>0</v>
      </c>
    </row>
    <row r="26" ht="15">
      <c r="A26" t="s">
        <v>1011</v>
      </c>
    </row>
  </sheetData>
  <sheetProtection sort="0" autoFilter="0"/>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Z407"/>
  <sheetViews>
    <sheetView showGridLines="0" showRowColHeaders="0" workbookViewId="0" topLeftCell="H1">
      <selection activeCell="I5" sqref="I5"/>
    </sheetView>
  </sheetViews>
  <sheetFormatPr defaultColWidth="0" defaultRowHeight="15" zeroHeight="1"/>
  <cols>
    <col min="1" max="1" width="19.8515625" style="0" hidden="1" customWidth="1"/>
    <col min="2" max="2" width="12.57421875" style="0" hidden="1" customWidth="1"/>
    <col min="3" max="7" width="9.140625" style="0" hidden="1" customWidth="1"/>
    <col min="8" max="8" width="2.8515625" style="0" customWidth="1"/>
    <col min="9" max="9" width="34.00390625" style="0" customWidth="1"/>
    <col min="10" max="12" width="20.28125" style="0" customWidth="1"/>
    <col min="13" max="13" width="11.28125" style="0" customWidth="1"/>
    <col min="14" max="20" width="9.140625" style="0" hidden="1" customWidth="1"/>
    <col min="21" max="21" width="2.8515625" style="0" customWidth="1"/>
    <col min="22" max="22" width="34.00390625" style="0" customWidth="1"/>
    <col min="23" max="25" width="20.28125" style="0" customWidth="1"/>
    <col min="26" max="26" width="11.28125" style="0" customWidth="1"/>
    <col min="27" max="27" width="2.8515625" style="0" customWidth="1"/>
    <col min="28" max="16384" width="9.140625" style="0" hidden="1" customWidth="1"/>
  </cols>
  <sheetData>
    <row r="1" spans="1:20" ht="15">
      <c r="A1" s="40" t="s">
        <v>928</v>
      </c>
      <c r="B1" s="40" t="s">
        <v>928</v>
      </c>
      <c r="C1" s="40" t="s">
        <v>928</v>
      </c>
      <c r="D1" s="40" t="s">
        <v>928</v>
      </c>
      <c r="E1" s="40" t="s">
        <v>928</v>
      </c>
      <c r="F1" s="40" t="s">
        <v>928</v>
      </c>
      <c r="G1" s="40" t="s">
        <v>928</v>
      </c>
      <c r="N1" s="40" t="s">
        <v>928</v>
      </c>
      <c r="O1" s="40" t="s">
        <v>928</v>
      </c>
      <c r="P1" s="40" t="s">
        <v>928</v>
      </c>
      <c r="Q1" s="40" t="s">
        <v>928</v>
      </c>
      <c r="R1" s="40" t="s">
        <v>928</v>
      </c>
      <c r="S1" s="40" t="s">
        <v>928</v>
      </c>
      <c r="T1" s="40" t="s">
        <v>928</v>
      </c>
    </row>
    <row r="2" ht="15"/>
    <row r="3" ht="15"/>
    <row r="4" spans="9:22" ht="15">
      <c r="I4" s="12" t="s">
        <v>830</v>
      </c>
      <c r="V4" s="12"/>
    </row>
    <row r="5" spans="1:9" ht="15">
      <c r="A5" s="45" t="s">
        <v>958</v>
      </c>
      <c r="B5" s="46">
        <f>I5</f>
        <v>0</v>
      </c>
      <c r="G5" s="45" t="s">
        <v>957</v>
      </c>
      <c r="I5" s="27"/>
    </row>
    <row r="6" spans="2:21" ht="15" hidden="1">
      <c r="B6" s="44" t="e">
        <f>I6</f>
        <v>#N/A</v>
      </c>
      <c r="E6" s="28"/>
      <c r="F6" s="28"/>
      <c r="G6" s="28"/>
      <c r="H6" s="28" t="s">
        <v>471</v>
      </c>
      <c r="I6" s="6" t="e">
        <f>INDEX(ReportAndOutcomeHistory!$F$4:$Q$4,MATCH($I$5,ReportAndOutcomeHistory!$F$1:$Q$1,0))</f>
        <v>#N/A</v>
      </c>
      <c r="J6" s="7"/>
      <c r="K6" s="7"/>
      <c r="L6" s="7"/>
      <c r="M6" s="7"/>
      <c r="R6" s="28"/>
      <c r="S6" s="28"/>
      <c r="T6" s="28"/>
      <c r="U6" s="28"/>
    </row>
    <row r="7" ht="15"/>
    <row r="8" ht="15.75">
      <c r="I8" s="51" t="s">
        <v>990</v>
      </c>
    </row>
    <row r="9" ht="3" customHeight="1"/>
    <row r="10" spans="9:23" ht="17.25" customHeight="1">
      <c r="I10" s="69" t="s">
        <v>991</v>
      </c>
      <c r="J10" s="69"/>
      <c r="K10" s="69"/>
      <c r="L10" s="69" t="s">
        <v>982</v>
      </c>
      <c r="M10" s="69"/>
      <c r="N10" s="69"/>
      <c r="O10" s="69"/>
      <c r="P10" s="69"/>
      <c r="Q10" s="69"/>
      <c r="R10" s="69"/>
      <c r="S10" s="69"/>
      <c r="T10" s="69"/>
      <c r="U10" s="69"/>
      <c r="V10" s="69"/>
      <c r="W10" s="69"/>
    </row>
    <row r="11" spans="9:23" ht="17.25" customHeight="1">
      <c r="I11" s="69" t="s">
        <v>975</v>
      </c>
      <c r="J11" s="69"/>
      <c r="K11" s="69"/>
      <c r="L11" s="69" t="s">
        <v>983</v>
      </c>
      <c r="M11" s="69"/>
      <c r="N11" s="69"/>
      <c r="O11" s="69"/>
      <c r="P11" s="69"/>
      <c r="Q11" s="69"/>
      <c r="R11" s="69"/>
      <c r="S11" s="69"/>
      <c r="T11" s="69"/>
      <c r="U11" s="69"/>
      <c r="V11" s="69"/>
      <c r="W11" s="69"/>
    </row>
    <row r="12" spans="9:23" ht="17.25" customHeight="1">
      <c r="I12" s="69" t="s">
        <v>976</v>
      </c>
      <c r="J12" s="69"/>
      <c r="K12" s="69"/>
      <c r="L12" s="69" t="s">
        <v>984</v>
      </c>
      <c r="M12" s="69"/>
      <c r="N12" s="69"/>
      <c r="O12" s="69"/>
      <c r="P12" s="69"/>
      <c r="Q12" s="69"/>
      <c r="R12" s="69"/>
      <c r="S12" s="69"/>
      <c r="T12" s="69"/>
      <c r="U12" s="69"/>
      <c r="V12" s="69"/>
      <c r="W12" s="69"/>
    </row>
    <row r="13" spans="9:23" ht="17.25" customHeight="1">
      <c r="I13" s="69" t="s">
        <v>977</v>
      </c>
      <c r="J13" s="69"/>
      <c r="K13" s="69"/>
      <c r="L13" s="69" t="s">
        <v>985</v>
      </c>
      <c r="M13" s="69"/>
      <c r="N13" s="69"/>
      <c r="O13" s="69"/>
      <c r="P13" s="69"/>
      <c r="Q13" s="69"/>
      <c r="R13" s="69"/>
      <c r="S13" s="69"/>
      <c r="T13" s="69"/>
      <c r="U13" s="69"/>
      <c r="V13" s="69"/>
      <c r="W13" s="69"/>
    </row>
    <row r="14" spans="9:23" ht="17.25" customHeight="1">
      <c r="I14" s="69" t="s">
        <v>978</v>
      </c>
      <c r="J14" s="69"/>
      <c r="K14" s="69"/>
      <c r="L14" s="69" t="s">
        <v>986</v>
      </c>
      <c r="M14" s="69"/>
      <c r="N14" s="69"/>
      <c r="O14" s="69"/>
      <c r="P14" s="69"/>
      <c r="Q14" s="69"/>
      <c r="R14" s="69"/>
      <c r="S14" s="69"/>
      <c r="T14" s="69"/>
      <c r="U14" s="69"/>
      <c r="V14" s="69"/>
      <c r="W14" s="69"/>
    </row>
    <row r="15" spans="9:23" ht="17.25" customHeight="1">
      <c r="I15" s="69" t="s">
        <v>979</v>
      </c>
      <c r="J15" s="69"/>
      <c r="K15" s="69"/>
      <c r="L15" s="69" t="s">
        <v>987</v>
      </c>
      <c r="M15" s="69"/>
      <c r="N15" s="69"/>
      <c r="O15" s="69"/>
      <c r="P15" s="69"/>
      <c r="Q15" s="69"/>
      <c r="R15" s="69"/>
      <c r="S15" s="69"/>
      <c r="T15" s="69"/>
      <c r="U15" s="69"/>
      <c r="V15" s="69"/>
      <c r="W15" s="69"/>
    </row>
    <row r="16" spans="9:23" ht="17.25" customHeight="1">
      <c r="I16" s="69"/>
      <c r="J16" s="69"/>
      <c r="K16" s="69"/>
      <c r="L16" s="69" t="s">
        <v>988</v>
      </c>
      <c r="M16" s="69"/>
      <c r="N16" s="69"/>
      <c r="O16" s="69"/>
      <c r="P16" s="69"/>
      <c r="Q16" s="69"/>
      <c r="R16" s="69"/>
      <c r="S16" s="69"/>
      <c r="T16" s="69"/>
      <c r="U16" s="69"/>
      <c r="V16" s="69"/>
      <c r="W16" s="69"/>
    </row>
    <row r="17" spans="9:23" ht="17.25" customHeight="1">
      <c r="I17" s="69" t="s">
        <v>980</v>
      </c>
      <c r="J17" s="69"/>
      <c r="K17" s="69"/>
      <c r="L17" s="69" t="s">
        <v>989</v>
      </c>
      <c r="M17" s="69"/>
      <c r="N17" s="69"/>
      <c r="O17" s="69"/>
      <c r="P17" s="69"/>
      <c r="Q17" s="69"/>
      <c r="R17" s="69"/>
      <c r="S17" s="69"/>
      <c r="T17" s="69"/>
      <c r="U17" s="69"/>
      <c r="V17" s="69"/>
      <c r="W17" s="69"/>
    </row>
    <row r="18" spans="9:23" ht="17.25" customHeight="1">
      <c r="I18" s="69" t="s">
        <v>981</v>
      </c>
      <c r="J18" s="69"/>
      <c r="K18" s="69"/>
      <c r="L18" s="52"/>
      <c r="M18" s="52"/>
      <c r="N18" s="52"/>
      <c r="O18" s="52"/>
      <c r="P18" s="52"/>
      <c r="Q18" s="52"/>
      <c r="R18" s="52"/>
      <c r="S18" s="52"/>
      <c r="T18" s="52"/>
      <c r="U18" s="52"/>
      <c r="V18" s="52"/>
      <c r="W18" s="52"/>
    </row>
    <row r="19" ht="15"/>
    <row r="20" spans="1:9" ht="15" hidden="1">
      <c r="A20" s="40" t="s">
        <v>928</v>
      </c>
      <c r="B20" s="40" t="s">
        <v>928</v>
      </c>
      <c r="C20" s="40" t="s">
        <v>928</v>
      </c>
      <c r="D20" s="40" t="s">
        <v>928</v>
      </c>
      <c r="E20" s="40" t="s">
        <v>928</v>
      </c>
      <c r="F20" s="40" t="s">
        <v>928</v>
      </c>
      <c r="G20" s="40" t="s">
        <v>928</v>
      </c>
      <c r="H20" s="40" t="s">
        <v>928</v>
      </c>
      <c r="I20" s="40" t="s">
        <v>928</v>
      </c>
    </row>
    <row r="21" spans="1:9" ht="15" hidden="1">
      <c r="A21" s="40" t="s">
        <v>928</v>
      </c>
      <c r="B21" s="40" t="s">
        <v>928</v>
      </c>
      <c r="C21" s="40" t="s">
        <v>928</v>
      </c>
      <c r="D21" s="40" t="s">
        <v>928</v>
      </c>
      <c r="E21" s="40" t="s">
        <v>928</v>
      </c>
      <c r="F21" s="40" t="s">
        <v>928</v>
      </c>
      <c r="G21" s="40" t="s">
        <v>928</v>
      </c>
      <c r="H21" s="40" t="s">
        <v>928</v>
      </c>
      <c r="I21" s="40" t="s">
        <v>928</v>
      </c>
    </row>
    <row r="22" spans="1:9" ht="15" hidden="1">
      <c r="A22" s="40" t="s">
        <v>928</v>
      </c>
      <c r="B22" s="40" t="s">
        <v>928</v>
      </c>
      <c r="C22" s="40" t="s">
        <v>928</v>
      </c>
      <c r="D22" s="40" t="s">
        <v>928</v>
      </c>
      <c r="E22" s="40" t="s">
        <v>928</v>
      </c>
      <c r="F22" s="40" t="s">
        <v>928</v>
      </c>
      <c r="G22" s="40" t="s">
        <v>928</v>
      </c>
      <c r="H22" s="40" t="s">
        <v>928</v>
      </c>
      <c r="I22" s="40" t="s">
        <v>928</v>
      </c>
    </row>
    <row r="23" spans="1:9" ht="15" hidden="1">
      <c r="A23" s="40" t="s">
        <v>928</v>
      </c>
      <c r="B23" s="40" t="s">
        <v>928</v>
      </c>
      <c r="C23" s="40" t="s">
        <v>928</v>
      </c>
      <c r="D23" s="40" t="s">
        <v>928</v>
      </c>
      <c r="E23" s="40" t="s">
        <v>928</v>
      </c>
      <c r="F23" s="40" t="s">
        <v>928</v>
      </c>
      <c r="G23" s="40" t="s">
        <v>928</v>
      </c>
      <c r="H23" s="40" t="s">
        <v>928</v>
      </c>
      <c r="I23" s="40" t="s">
        <v>928</v>
      </c>
    </row>
    <row r="24" spans="1:9" ht="15" hidden="1">
      <c r="A24" s="40" t="s">
        <v>928</v>
      </c>
      <c r="B24" s="40" t="s">
        <v>928</v>
      </c>
      <c r="C24" s="40" t="s">
        <v>928</v>
      </c>
      <c r="D24" s="40" t="s">
        <v>928</v>
      </c>
      <c r="E24" s="40" t="s">
        <v>928</v>
      </c>
      <c r="F24" s="40" t="s">
        <v>928</v>
      </c>
      <c r="G24" s="40" t="s">
        <v>928</v>
      </c>
      <c r="H24" s="40" t="s">
        <v>928</v>
      </c>
      <c r="I24" s="40" t="s">
        <v>928</v>
      </c>
    </row>
    <row r="25" spans="1:9" ht="15" hidden="1">
      <c r="A25" s="40" t="s">
        <v>928</v>
      </c>
      <c r="B25" s="40" t="s">
        <v>928</v>
      </c>
      <c r="C25" s="40" t="s">
        <v>928</v>
      </c>
      <c r="D25" s="40" t="s">
        <v>928</v>
      </c>
      <c r="E25" s="40" t="s">
        <v>928</v>
      </c>
      <c r="F25" s="40" t="s">
        <v>928</v>
      </c>
      <c r="G25" s="40" t="s">
        <v>928</v>
      </c>
      <c r="H25" s="40" t="s">
        <v>928</v>
      </c>
      <c r="I25" s="40" t="s">
        <v>928</v>
      </c>
    </row>
    <row r="26" spans="1:9" ht="15" hidden="1">
      <c r="A26" s="40" t="s">
        <v>928</v>
      </c>
      <c r="B26" s="40" t="s">
        <v>928</v>
      </c>
      <c r="C26" s="40" t="s">
        <v>928</v>
      </c>
      <c r="D26" s="40" t="s">
        <v>928</v>
      </c>
      <c r="E26" s="40" t="s">
        <v>928</v>
      </c>
      <c r="F26" s="40" t="s">
        <v>928</v>
      </c>
      <c r="G26" s="40" t="s">
        <v>928</v>
      </c>
      <c r="H26" s="40" t="s">
        <v>928</v>
      </c>
      <c r="I26" s="40" t="s">
        <v>928</v>
      </c>
    </row>
    <row r="27" spans="1:9" ht="15" hidden="1">
      <c r="A27" s="40" t="s">
        <v>928</v>
      </c>
      <c r="B27" s="40" t="s">
        <v>928</v>
      </c>
      <c r="C27" s="40" t="s">
        <v>928</v>
      </c>
      <c r="D27" s="40" t="s">
        <v>928</v>
      </c>
      <c r="E27" s="40" t="s">
        <v>928</v>
      </c>
      <c r="F27" s="40" t="s">
        <v>928</v>
      </c>
      <c r="G27" s="40" t="s">
        <v>928</v>
      </c>
      <c r="H27" s="40" t="s">
        <v>928</v>
      </c>
      <c r="I27" s="40" t="s">
        <v>928</v>
      </c>
    </row>
    <row r="28" spans="9:25" ht="21.75" thickBot="1">
      <c r="I28" s="70" t="s">
        <v>41</v>
      </c>
      <c r="J28" s="70"/>
      <c r="K28" s="70"/>
      <c r="L28" s="70"/>
      <c r="V28" s="70" t="s">
        <v>40</v>
      </c>
      <c r="W28" s="70"/>
      <c r="X28" s="70"/>
      <c r="Y28" s="70"/>
    </row>
    <row r="29" ht="15"/>
    <row r="30" ht="15"/>
    <row r="31" ht="15"/>
    <row r="32" spans="1:16" ht="15">
      <c r="A32" t="s">
        <v>836</v>
      </c>
      <c r="B32" t="str">
        <f>IF($I$5="","",INDEX(ReportAndOutcomeHistory!$7:$7,MATCH($I$5,ReportAndOutcomeHistory!$1:$1,0)))</f>
        <v/>
      </c>
      <c r="C32" t="e">
        <f>IF(OR($I$6=0,B32=0,B32=""),NA(),B32)</f>
        <v>#N/A</v>
      </c>
      <c r="N32" t="s">
        <v>836</v>
      </c>
      <c r="O32" t="e">
        <f>IF($B$5="","",INDEX(ReportAndOutcomeHistory!$30:$30,MATCH($B$5,ReportAndOutcomeHistory!$1:$1,0)))</f>
        <v>#N/A</v>
      </c>
      <c r="P32" t="e">
        <f>IF(OR($B$6=0,O32=0,O32=""),NA(),O32)</f>
        <v>#N/A</v>
      </c>
    </row>
    <row r="33" spans="1:16" ht="15">
      <c r="A33" t="s">
        <v>828</v>
      </c>
      <c r="B33" t="str">
        <f>IF($I$5="","",INDEX(ReportAndOutcomeHistory!$8:$8,MATCH($I$5,ReportAndOutcomeHistory!$1:$1,0)))</f>
        <v/>
      </c>
      <c r="C33" t="e">
        <f>IF(OR($I$6=0,B33=0,B33=""),NA(),B33)</f>
        <v>#N/A</v>
      </c>
      <c r="N33" t="s">
        <v>828</v>
      </c>
      <c r="O33" t="e">
        <f>IF($B$5="","",INDEX(ReportAndOutcomeHistory!$31:$31,MATCH($B$5,ReportAndOutcomeHistory!$1:$1,0)))</f>
        <v>#N/A</v>
      </c>
      <c r="P33" t="e">
        <f>IF(OR($B$6=0,O33=0,O33=""),NA(),O33)</f>
        <v>#N/A</v>
      </c>
    </row>
    <row r="34" spans="1:16" ht="15">
      <c r="A34" t="s">
        <v>817</v>
      </c>
      <c r="B34" t="str">
        <f>IF($I$5="","",INDEX(ReportAndOutcomeHistory!$9:$9,MATCH($I$5,ReportAndOutcomeHistory!$1:$1,0)))</f>
        <v/>
      </c>
      <c r="C34" t="e">
        <f>IF(OR($I$6=0,B34=0,B34=""),NA(),B34)</f>
        <v>#N/A</v>
      </c>
      <c r="N34" t="s">
        <v>817</v>
      </c>
      <c r="O34" t="e">
        <f>IF($B$5="","",INDEX(ReportAndOutcomeHistory!$32:$32,MATCH($B$5,ReportAndOutcomeHistory!$1:$1,0)))</f>
        <v>#N/A</v>
      </c>
      <c r="P34" t="e">
        <f>IF(OR($B$6=0,O34=0,O34=""),NA(),O34)</f>
        <v>#N/A</v>
      </c>
    </row>
    <row r="35" spans="1:16" ht="15">
      <c r="A35" t="s">
        <v>818</v>
      </c>
      <c r="B35" t="str">
        <f>_xlfn.IFERROR(IF($I$5="","",INDEX(ReportAndOutcomeHistory!$6:$6,MATCH($I$5,ReportAndOutcomeHistory!$1:$1,0))-SUM(B32:B34)),"")</f>
        <v/>
      </c>
      <c r="C35" t="e">
        <f>IF(OR($I$6=0,B35=0,B35=""),NA(),B35)</f>
        <v>#N/A</v>
      </c>
      <c r="N35" t="s">
        <v>818</v>
      </c>
      <c r="O35" t="str">
        <f>_xlfn.IFERROR(IF($B$5="","",INDEX(ReportAndOutcomeHistory!$29:$29,MATCH($B$5,ReportAndOutcomeHistory!$1:$1,0))-SUM(O32:O34)),"")</f>
        <v/>
      </c>
      <c r="P35" t="e">
        <f>IF(OR($B$6=0,O35=0,O35=""),NA(),O35)</f>
        <v>#N/A</v>
      </c>
    </row>
    <row r="36" ht="15"/>
    <row r="37" ht="15"/>
    <row r="38" ht="15"/>
    <row r="39" ht="15"/>
    <row r="40" ht="15"/>
    <row r="41" ht="15"/>
    <row r="42" ht="15"/>
    <row r="43" ht="15"/>
    <row r="44" ht="15"/>
    <row r="45" spans="9:24" s="20" customFormat="1" ht="30">
      <c r="I45" s="24" t="s">
        <v>19</v>
      </c>
      <c r="J45" s="25" t="s">
        <v>826</v>
      </c>
      <c r="K45" s="25" t="s">
        <v>839</v>
      </c>
      <c r="V45" s="24" t="s">
        <v>19</v>
      </c>
      <c r="W45" s="25" t="s">
        <v>826</v>
      </c>
      <c r="X45" s="25" t="s">
        <v>839</v>
      </c>
    </row>
    <row r="46" spans="9:24" ht="15">
      <c r="I46" s="21" t="str">
        <f aca="true" t="shared" si="0" ref="I46:J49">A32</f>
        <v>Dementia Diagnosis</v>
      </c>
      <c r="J46" s="22" t="str">
        <f t="shared" si="0"/>
        <v/>
      </c>
      <c r="K46" s="29" t="str">
        <f>IF($I$5="","",IF($I$6=0,"",_xlfn.IFERROR(J46/$J$50,"n/a")))</f>
        <v/>
      </c>
      <c r="V46" s="21" t="str">
        <f aca="true" t="shared" si="1" ref="V46:W49">N32</f>
        <v>Dementia Diagnosis</v>
      </c>
      <c r="W46" s="22" t="e">
        <f t="shared" si="1"/>
        <v>#N/A</v>
      </c>
      <c r="X46" s="29" t="e">
        <f>IF($B$5="","",IF($B$6=0,"",_xlfn.IFERROR(W46/$W$50,"n/a")))</f>
        <v>#N/A</v>
      </c>
    </row>
    <row r="47" spans="9:24" ht="15">
      <c r="I47" s="21" t="str">
        <f t="shared" si="0"/>
        <v>Mental Health Diagnosis</v>
      </c>
      <c r="J47" s="22" t="str">
        <f t="shared" si="0"/>
        <v/>
      </c>
      <c r="K47" s="29" t="str">
        <f>IF($I$5="","",IF($I$6=0,"",_xlfn.IFERROR(J47/$J$50,"n/a")))</f>
        <v/>
      </c>
      <c r="V47" s="21" t="str">
        <f t="shared" si="1"/>
        <v>Mental Health Diagnosis</v>
      </c>
      <c r="W47" s="22" t="e">
        <f t="shared" si="1"/>
        <v>#N/A</v>
      </c>
      <c r="X47" s="29" t="e">
        <f>IF($B$5="","",IF($B$6=0,"",_xlfn.IFERROR(W47/$W$50,"n/a")))</f>
        <v>#N/A</v>
      </c>
    </row>
    <row r="48" spans="9:24" ht="15">
      <c r="I48" s="21" t="str">
        <f t="shared" si="0"/>
        <v>Both</v>
      </c>
      <c r="J48" s="22" t="str">
        <f t="shared" si="0"/>
        <v/>
      </c>
      <c r="K48" s="29" t="str">
        <f>IF($I$5="","",IF($I$6=0,"",_xlfn.IFERROR(J48/$J$50,"n/a")))</f>
        <v/>
      </c>
      <c r="V48" s="21" t="str">
        <f t="shared" si="1"/>
        <v>Both</v>
      </c>
      <c r="W48" s="22" t="e">
        <f t="shared" si="1"/>
        <v>#N/A</v>
      </c>
      <c r="X48" s="29" t="e">
        <f>IF($B$5="","",IF($B$6=0,"",_xlfn.IFERROR(W48/$W$50,"n/a")))</f>
        <v>#N/A</v>
      </c>
    </row>
    <row r="49" spans="9:24" ht="15">
      <c r="I49" s="21" t="str">
        <f t="shared" si="0"/>
        <v>Neither</v>
      </c>
      <c r="J49" s="22" t="str">
        <f t="shared" si="0"/>
        <v/>
      </c>
      <c r="K49" s="29" t="str">
        <f>IF($I$5="","",IF($I$6=0,"",_xlfn.IFERROR(J49/$J$50,"n/a")))</f>
        <v/>
      </c>
      <c r="V49" s="21" t="str">
        <f t="shared" si="1"/>
        <v>Neither</v>
      </c>
      <c r="W49" s="22" t="str">
        <f t="shared" si="1"/>
        <v/>
      </c>
      <c r="X49" s="29" t="e">
        <f>IF($B$5="","",IF($B$6=0,"",_xlfn.IFERROR(W49/$W$50,"n/a")))</f>
        <v>#N/A</v>
      </c>
    </row>
    <row r="50" spans="9:24" ht="15">
      <c r="I50" s="21" t="s">
        <v>838</v>
      </c>
      <c r="J50" s="22" t="str">
        <f>IF($I$5="","",IF($I$6=0,"",SUM(J46:J49)))</f>
        <v/>
      </c>
      <c r="K50" s="29" t="str">
        <f>IF($I$5="","",IF($I$6=0,"",_xlfn.IFERROR(J50/$J$50,"n/a")))</f>
        <v/>
      </c>
      <c r="V50" s="21" t="s">
        <v>838</v>
      </c>
      <c r="W50" s="22" t="e">
        <f>IF($B$5="","",IF($B$6=0,"",SUM(W46:W49)))</f>
        <v>#N/A</v>
      </c>
      <c r="X50" s="29" t="e">
        <f>IF($B$5="","",IF($B$6=0,"",_xlfn.IFERROR(W50/$W$50,"n/a")))</f>
        <v>#N/A</v>
      </c>
    </row>
    <row r="51" ht="15"/>
    <row r="52" ht="15"/>
    <row r="53" spans="1:18" ht="15">
      <c r="A53" t="s">
        <v>819</v>
      </c>
      <c r="B53" t="s">
        <v>820</v>
      </c>
      <c r="C53" t="s">
        <v>820</v>
      </c>
      <c r="D53" t="s">
        <v>845</v>
      </c>
      <c r="E53" t="s">
        <v>845</v>
      </c>
      <c r="N53" t="s">
        <v>819</v>
      </c>
      <c r="O53" t="s">
        <v>820</v>
      </c>
      <c r="P53" t="s">
        <v>820</v>
      </c>
      <c r="Q53" t="s">
        <v>845</v>
      </c>
      <c r="R53" t="s">
        <v>845</v>
      </c>
    </row>
    <row r="54" spans="1:18" ht="15">
      <c r="A54">
        <v>0</v>
      </c>
      <c r="B54" t="str">
        <f>IF($I$5="","",INDEX(ReportAndOutcomeHistory!53:53,MATCH($I$5,ReportAndOutcomeHistory!$1:$1,0)))</f>
        <v/>
      </c>
      <c r="C54" t="e">
        <f>IF(OR(B54=0,B54=""),NA(),B54)</f>
        <v>#N/A</v>
      </c>
      <c r="D54" s="10" t="str">
        <f aca="true" t="shared" si="2" ref="D54:D68">IF($I$5="","",B54/$B$68)</f>
        <v/>
      </c>
      <c r="E54" s="10" t="e">
        <f aca="true" t="shared" si="3" ref="C54:E68">IF(OR(D54=0,D54=""),NA(),D54)</f>
        <v>#N/A</v>
      </c>
      <c r="N54">
        <v>0</v>
      </c>
      <c r="O54" t="e">
        <f>IF($B$5="","",INDEX(ReportAndOutcomeHistory!218:218,MATCH($B$5,ReportAndOutcomeHistory!$1:$1,0)))</f>
        <v>#N/A</v>
      </c>
      <c r="P54" t="e">
        <f aca="true" t="shared" si="4" ref="P54:P68">IF(OR(O54=0,O54=""),NA(),O54)</f>
        <v>#N/A</v>
      </c>
      <c r="Q54" s="10" t="e">
        <f aca="true" t="shared" si="5" ref="Q54:Q68">IF($B$5="","",O54/$O$68)</f>
        <v>#N/A</v>
      </c>
      <c r="R54" s="10" t="e">
        <f aca="true" t="shared" si="6" ref="R54:R68">IF(OR(Q54=0,Q54=""),NA(),Q54)</f>
        <v>#N/A</v>
      </c>
    </row>
    <row r="55" spans="1:18" ht="15">
      <c r="A55">
        <f>1+A54</f>
        <v>1</v>
      </c>
      <c r="B55" t="str">
        <f>IF($I$5="","",INDEX(ReportAndOutcomeHistory!54:54,MATCH($I$5,ReportAndOutcomeHistory!$1:$1,0)))</f>
        <v/>
      </c>
      <c r="C55" t="e">
        <f t="shared" si="3"/>
        <v>#N/A</v>
      </c>
      <c r="D55" s="10" t="str">
        <f t="shared" si="2"/>
        <v/>
      </c>
      <c r="E55" s="10" t="e">
        <f t="shared" si="3"/>
        <v>#N/A</v>
      </c>
      <c r="N55">
        <f aca="true" t="shared" si="7" ref="N55:N60">1+N54</f>
        <v>1</v>
      </c>
      <c r="O55" t="e">
        <f>IF($B$5="","",INDEX(ReportAndOutcomeHistory!219:219,MATCH($B$5,ReportAndOutcomeHistory!$1:$1,0)))</f>
        <v>#N/A</v>
      </c>
      <c r="P55" t="e">
        <f t="shared" si="4"/>
        <v>#N/A</v>
      </c>
      <c r="Q55" s="10" t="e">
        <f t="shared" si="5"/>
        <v>#N/A</v>
      </c>
      <c r="R55" s="10" t="e">
        <f t="shared" si="6"/>
        <v>#N/A</v>
      </c>
    </row>
    <row r="56" spans="1:18" ht="15">
      <c r="A56">
        <f aca="true" t="shared" si="8" ref="A56:A67">1+A55</f>
        <v>2</v>
      </c>
      <c r="B56" t="str">
        <f>IF($I$5="","",INDEX(ReportAndOutcomeHistory!55:55,MATCH($I$5,ReportAndOutcomeHistory!$1:$1,0)))</f>
        <v/>
      </c>
      <c r="C56" t="e">
        <f t="shared" si="3"/>
        <v>#N/A</v>
      </c>
      <c r="D56" s="10" t="str">
        <f t="shared" si="2"/>
        <v/>
      </c>
      <c r="E56" s="10" t="e">
        <f t="shared" si="3"/>
        <v>#N/A</v>
      </c>
      <c r="N56">
        <f t="shared" si="7"/>
        <v>2</v>
      </c>
      <c r="O56" t="e">
        <f>IF($B$5="","",INDEX(ReportAndOutcomeHistory!220:220,MATCH($B$5,ReportAndOutcomeHistory!$1:$1,0)))</f>
        <v>#N/A</v>
      </c>
      <c r="P56" t="e">
        <f t="shared" si="4"/>
        <v>#N/A</v>
      </c>
      <c r="Q56" s="10" t="e">
        <f t="shared" si="5"/>
        <v>#N/A</v>
      </c>
      <c r="R56" s="10" t="e">
        <f t="shared" si="6"/>
        <v>#N/A</v>
      </c>
    </row>
    <row r="57" spans="1:18" ht="15">
      <c r="A57">
        <f t="shared" si="8"/>
        <v>3</v>
      </c>
      <c r="B57" t="str">
        <f>IF($I$5="","",INDEX(ReportAndOutcomeHistory!56:56,MATCH($I$5,ReportAndOutcomeHistory!$1:$1,0)))</f>
        <v/>
      </c>
      <c r="C57" t="e">
        <f t="shared" si="3"/>
        <v>#N/A</v>
      </c>
      <c r="D57" s="10" t="str">
        <f t="shared" si="2"/>
        <v/>
      </c>
      <c r="E57" s="10" t="e">
        <f t="shared" si="3"/>
        <v>#N/A</v>
      </c>
      <c r="N57">
        <f t="shared" si="7"/>
        <v>3</v>
      </c>
      <c r="O57" t="e">
        <f>IF($B$5="","",INDEX(ReportAndOutcomeHistory!221:221,MATCH($B$5,ReportAndOutcomeHistory!$1:$1,0)))</f>
        <v>#N/A</v>
      </c>
      <c r="P57" t="e">
        <f t="shared" si="4"/>
        <v>#N/A</v>
      </c>
      <c r="Q57" s="10" t="e">
        <f t="shared" si="5"/>
        <v>#N/A</v>
      </c>
      <c r="R57" s="10" t="e">
        <f t="shared" si="6"/>
        <v>#N/A</v>
      </c>
    </row>
    <row r="58" spans="1:18" ht="15">
      <c r="A58">
        <f t="shared" si="8"/>
        <v>4</v>
      </c>
      <c r="B58" t="str">
        <f>IF($I$5="","",INDEX(ReportAndOutcomeHistory!57:57,MATCH($I$5,ReportAndOutcomeHistory!$1:$1,0)))</f>
        <v/>
      </c>
      <c r="C58" t="e">
        <f t="shared" si="3"/>
        <v>#N/A</v>
      </c>
      <c r="D58" s="10" t="str">
        <f t="shared" si="2"/>
        <v/>
      </c>
      <c r="E58" s="10" t="e">
        <f t="shared" si="3"/>
        <v>#N/A</v>
      </c>
      <c r="N58">
        <f t="shared" si="7"/>
        <v>4</v>
      </c>
      <c r="O58" t="e">
        <f>IF($B$5="","",INDEX(ReportAndOutcomeHistory!222:222,MATCH($B$5,ReportAndOutcomeHistory!$1:$1,0)))</f>
        <v>#N/A</v>
      </c>
      <c r="P58" t="e">
        <f t="shared" si="4"/>
        <v>#N/A</v>
      </c>
      <c r="Q58" s="10" t="e">
        <f t="shared" si="5"/>
        <v>#N/A</v>
      </c>
      <c r="R58" s="10" t="e">
        <f t="shared" si="6"/>
        <v>#N/A</v>
      </c>
    </row>
    <row r="59" spans="1:18" ht="15">
      <c r="A59">
        <f t="shared" si="8"/>
        <v>5</v>
      </c>
      <c r="B59" t="str">
        <f>IF($I$5="","",INDEX(ReportAndOutcomeHistory!58:58,MATCH($I$5,ReportAndOutcomeHistory!$1:$1,0)))</f>
        <v/>
      </c>
      <c r="C59" t="e">
        <f t="shared" si="3"/>
        <v>#N/A</v>
      </c>
      <c r="D59" s="10" t="str">
        <f t="shared" si="2"/>
        <v/>
      </c>
      <c r="E59" s="10" t="e">
        <f t="shared" si="3"/>
        <v>#N/A</v>
      </c>
      <c r="N59">
        <f t="shared" si="7"/>
        <v>5</v>
      </c>
      <c r="O59" t="e">
        <f>IF($B$5="","",INDEX(ReportAndOutcomeHistory!223:223,MATCH($B$5,ReportAndOutcomeHistory!$1:$1,0)))</f>
        <v>#N/A</v>
      </c>
      <c r="P59" t="e">
        <f t="shared" si="4"/>
        <v>#N/A</v>
      </c>
      <c r="Q59" s="10" t="e">
        <f t="shared" si="5"/>
        <v>#N/A</v>
      </c>
      <c r="R59" s="10" t="e">
        <f t="shared" si="6"/>
        <v>#N/A</v>
      </c>
    </row>
    <row r="60" spans="1:18" ht="15">
      <c r="A60">
        <f t="shared" si="8"/>
        <v>6</v>
      </c>
      <c r="B60" t="str">
        <f>IF($I$5="","",INDEX(ReportAndOutcomeHistory!59:59,MATCH($I$5,ReportAndOutcomeHistory!$1:$1,0)))</f>
        <v/>
      </c>
      <c r="C60" t="e">
        <f t="shared" si="3"/>
        <v>#N/A</v>
      </c>
      <c r="D60" s="10" t="str">
        <f t="shared" si="2"/>
        <v/>
      </c>
      <c r="E60" s="10" t="e">
        <f t="shared" si="3"/>
        <v>#N/A</v>
      </c>
      <c r="N60">
        <f t="shared" si="7"/>
        <v>6</v>
      </c>
      <c r="O60" t="e">
        <f>IF($B$5="","",INDEX(ReportAndOutcomeHistory!224:224,MATCH($B$5,ReportAndOutcomeHistory!$1:$1,0)))</f>
        <v>#N/A</v>
      </c>
      <c r="P60" t="e">
        <f t="shared" si="4"/>
        <v>#N/A</v>
      </c>
      <c r="Q60" s="10" t="e">
        <f t="shared" si="5"/>
        <v>#N/A</v>
      </c>
      <c r="R60" s="10" t="e">
        <f t="shared" si="6"/>
        <v>#N/A</v>
      </c>
    </row>
    <row r="61" spans="1:18" ht="15">
      <c r="A61" t="s">
        <v>821</v>
      </c>
      <c r="B61" t="str">
        <f>IF($I$5=0,"",IF($I$5="","",SUM(B62:B67)))</f>
        <v/>
      </c>
      <c r="C61" t="e">
        <f t="shared" si="3"/>
        <v>#N/A</v>
      </c>
      <c r="D61" s="10" t="str">
        <f t="shared" si="2"/>
        <v/>
      </c>
      <c r="E61" s="10" t="e">
        <f t="shared" si="3"/>
        <v>#N/A</v>
      </c>
      <c r="N61" t="s">
        <v>821</v>
      </c>
      <c r="O61" t="str">
        <f>IF($B$5=0,"",IF($B$5="","",SUM(O62:O67)))</f>
        <v/>
      </c>
      <c r="P61" t="e">
        <f t="shared" si="4"/>
        <v>#N/A</v>
      </c>
      <c r="Q61" s="10" t="e">
        <f t="shared" si="5"/>
        <v>#VALUE!</v>
      </c>
      <c r="R61" s="10" t="e">
        <f t="shared" si="6"/>
        <v>#VALUE!</v>
      </c>
    </row>
    <row r="62" spans="1:18" ht="15">
      <c r="A62">
        <f>1+A60</f>
        <v>7</v>
      </c>
      <c r="B62" t="str">
        <f>IF($I$5="","",INDEX(ReportAndOutcomeHistory!60:60,MATCH($I$5,ReportAndOutcomeHistory!$1:$1,0)))</f>
        <v/>
      </c>
      <c r="C62" t="e">
        <f t="shared" si="3"/>
        <v>#N/A</v>
      </c>
      <c r="D62" s="10" t="str">
        <f t="shared" si="2"/>
        <v/>
      </c>
      <c r="E62" s="10" t="e">
        <f t="shared" si="3"/>
        <v>#N/A</v>
      </c>
      <c r="N62">
        <f>1+N60</f>
        <v>7</v>
      </c>
      <c r="O62" t="e">
        <f>IF($B$5="","",INDEX(ReportAndOutcomeHistory!225:225,MATCH($B$5,ReportAndOutcomeHistory!$1:$1,0)))</f>
        <v>#N/A</v>
      </c>
      <c r="P62" t="e">
        <f t="shared" si="4"/>
        <v>#N/A</v>
      </c>
      <c r="Q62" s="10" t="e">
        <f t="shared" si="5"/>
        <v>#N/A</v>
      </c>
      <c r="R62" s="10" t="e">
        <f t="shared" si="6"/>
        <v>#N/A</v>
      </c>
    </row>
    <row r="63" spans="1:18" ht="15">
      <c r="A63">
        <f t="shared" si="8"/>
        <v>8</v>
      </c>
      <c r="B63" t="str">
        <f>IF($I$5="","",INDEX(ReportAndOutcomeHistory!61:61,MATCH($I$5,ReportAndOutcomeHistory!$1:$1,0)))</f>
        <v/>
      </c>
      <c r="C63" t="e">
        <f t="shared" si="3"/>
        <v>#N/A</v>
      </c>
      <c r="D63" s="10" t="str">
        <f t="shared" si="2"/>
        <v/>
      </c>
      <c r="E63" s="10" t="e">
        <f t="shared" si="3"/>
        <v>#N/A</v>
      </c>
      <c r="N63">
        <f>1+N62</f>
        <v>8</v>
      </c>
      <c r="O63" t="e">
        <f>IF($B$5="","",INDEX(ReportAndOutcomeHistory!226:226,MATCH($B$5,ReportAndOutcomeHistory!$1:$1,0)))</f>
        <v>#N/A</v>
      </c>
      <c r="P63" t="e">
        <f t="shared" si="4"/>
        <v>#N/A</v>
      </c>
      <c r="Q63" s="10" t="e">
        <f t="shared" si="5"/>
        <v>#N/A</v>
      </c>
      <c r="R63" s="10" t="e">
        <f t="shared" si="6"/>
        <v>#N/A</v>
      </c>
    </row>
    <row r="64" spans="1:18" ht="15">
      <c r="A64">
        <f t="shared" si="8"/>
        <v>9</v>
      </c>
      <c r="B64" t="str">
        <f>IF($I$5="","",INDEX(ReportAndOutcomeHistory!62:62,MATCH($I$5,ReportAndOutcomeHistory!$1:$1,0)))</f>
        <v/>
      </c>
      <c r="C64" t="e">
        <f t="shared" si="3"/>
        <v>#N/A</v>
      </c>
      <c r="D64" s="10" t="str">
        <f t="shared" si="2"/>
        <v/>
      </c>
      <c r="E64" s="10" t="e">
        <f t="shared" si="3"/>
        <v>#N/A</v>
      </c>
      <c r="N64">
        <f>1+N63</f>
        <v>9</v>
      </c>
      <c r="O64" t="e">
        <f>IF($B$5="","",INDEX(ReportAndOutcomeHistory!227:227,MATCH($B$5,ReportAndOutcomeHistory!$1:$1,0)))</f>
        <v>#N/A</v>
      </c>
      <c r="P64" t="e">
        <f t="shared" si="4"/>
        <v>#N/A</v>
      </c>
      <c r="Q64" s="10" t="e">
        <f t="shared" si="5"/>
        <v>#N/A</v>
      </c>
      <c r="R64" s="10" t="e">
        <f t="shared" si="6"/>
        <v>#N/A</v>
      </c>
    </row>
    <row r="65" spans="1:18" ht="15">
      <c r="A65">
        <f t="shared" si="8"/>
        <v>10</v>
      </c>
      <c r="B65" t="str">
        <f>IF($I$5="","",INDEX(ReportAndOutcomeHistory!63:63,MATCH($I$5,ReportAndOutcomeHistory!$1:$1,0)))</f>
        <v/>
      </c>
      <c r="C65" t="e">
        <f t="shared" si="3"/>
        <v>#N/A</v>
      </c>
      <c r="D65" s="10" t="str">
        <f t="shared" si="2"/>
        <v/>
      </c>
      <c r="E65" s="10" t="e">
        <f t="shared" si="3"/>
        <v>#N/A</v>
      </c>
      <c r="N65">
        <f>1+N64</f>
        <v>10</v>
      </c>
      <c r="O65" t="e">
        <f>IF($B$5="","",INDEX(ReportAndOutcomeHistory!228:228,MATCH($B$5,ReportAndOutcomeHistory!$1:$1,0)))</f>
        <v>#N/A</v>
      </c>
      <c r="P65" t="e">
        <f t="shared" si="4"/>
        <v>#N/A</v>
      </c>
      <c r="Q65" s="10" t="e">
        <f t="shared" si="5"/>
        <v>#N/A</v>
      </c>
      <c r="R65" s="10" t="e">
        <f t="shared" si="6"/>
        <v>#N/A</v>
      </c>
    </row>
    <row r="66" spans="1:18" ht="15">
      <c r="A66">
        <f t="shared" si="8"/>
        <v>11</v>
      </c>
      <c r="B66" t="str">
        <f>IF($I$5="","",INDEX(ReportAndOutcomeHistory!64:64,MATCH($I$5,ReportAndOutcomeHistory!$1:$1,0)))</f>
        <v/>
      </c>
      <c r="C66" t="e">
        <f t="shared" si="3"/>
        <v>#N/A</v>
      </c>
      <c r="D66" s="10" t="str">
        <f t="shared" si="2"/>
        <v/>
      </c>
      <c r="E66" s="10" t="e">
        <f t="shared" si="3"/>
        <v>#N/A</v>
      </c>
      <c r="N66">
        <f>1+N65</f>
        <v>11</v>
      </c>
      <c r="O66" t="e">
        <f>IF($B$5="","",INDEX(ReportAndOutcomeHistory!229:229,MATCH($B$5,ReportAndOutcomeHistory!$1:$1,0)))</f>
        <v>#N/A</v>
      </c>
      <c r="P66" t="e">
        <f t="shared" si="4"/>
        <v>#N/A</v>
      </c>
      <c r="Q66" s="10" t="e">
        <f t="shared" si="5"/>
        <v>#N/A</v>
      </c>
      <c r="R66" s="10" t="e">
        <f t="shared" si="6"/>
        <v>#N/A</v>
      </c>
    </row>
    <row r="67" spans="1:18" ht="15">
      <c r="A67">
        <f t="shared" si="8"/>
        <v>12</v>
      </c>
      <c r="B67" t="str">
        <f>IF($I$5="","",INDEX(ReportAndOutcomeHistory!65:65,MATCH($I$5,ReportAndOutcomeHistory!$1:$1,0)))</f>
        <v/>
      </c>
      <c r="C67" t="e">
        <f t="shared" si="3"/>
        <v>#N/A</v>
      </c>
      <c r="D67" s="10" t="str">
        <f t="shared" si="2"/>
        <v/>
      </c>
      <c r="E67" s="10" t="e">
        <f t="shared" si="3"/>
        <v>#N/A</v>
      </c>
      <c r="N67">
        <f>1+N66</f>
        <v>12</v>
      </c>
      <c r="O67" t="e">
        <f>IF($B$5="","",INDEX(ReportAndOutcomeHistory!230:230,MATCH($B$5,ReportAndOutcomeHistory!$1:$1,0)))</f>
        <v>#N/A</v>
      </c>
      <c r="P67" t="e">
        <f t="shared" si="4"/>
        <v>#N/A</v>
      </c>
      <c r="Q67" s="10" t="e">
        <f t="shared" si="5"/>
        <v>#N/A</v>
      </c>
      <c r="R67" s="10" t="e">
        <f t="shared" si="6"/>
        <v>#N/A</v>
      </c>
    </row>
    <row r="68" spans="1:24" s="20" customFormat="1" ht="30">
      <c r="A68" s="20" t="s">
        <v>838</v>
      </c>
      <c r="B68" s="20" t="str">
        <f>IF($I$5="","",IF($I$6=0,"",SUM(B54:B61)))</f>
        <v/>
      </c>
      <c r="C68" s="32" t="e">
        <f t="shared" si="3"/>
        <v>#N/A</v>
      </c>
      <c r="D68" s="10" t="str">
        <f t="shared" si="2"/>
        <v/>
      </c>
      <c r="E68" s="33" t="e">
        <f t="shared" si="3"/>
        <v>#N/A</v>
      </c>
      <c r="I68" s="24" t="s">
        <v>827</v>
      </c>
      <c r="J68" s="25" t="s">
        <v>826</v>
      </c>
      <c r="K68" s="25" t="s">
        <v>839</v>
      </c>
      <c r="N68" s="20" t="s">
        <v>838</v>
      </c>
      <c r="O68" s="20" t="e">
        <f>IF($B$5="","",IF($B$6=0,"",SUM(O54:O61)))</f>
        <v>#N/A</v>
      </c>
      <c r="P68" s="32" t="e">
        <f t="shared" si="4"/>
        <v>#N/A</v>
      </c>
      <c r="Q68" s="10" t="e">
        <f t="shared" si="5"/>
        <v>#N/A</v>
      </c>
      <c r="R68" s="33" t="e">
        <f t="shared" si="6"/>
        <v>#N/A</v>
      </c>
      <c r="V68" s="24" t="s">
        <v>827</v>
      </c>
      <c r="W68" s="25" t="s">
        <v>826</v>
      </c>
      <c r="X68" s="25" t="s">
        <v>839</v>
      </c>
    </row>
    <row r="69" spans="9:24" ht="15">
      <c r="I69" s="23" t="s">
        <v>933</v>
      </c>
      <c r="J69" s="22" t="str">
        <f>B54</f>
        <v/>
      </c>
      <c r="K69" s="29" t="str">
        <f aca="true" t="shared" si="9" ref="K69:K77">IF($I$5="","",IF($I$6=0,"",_xlfn.IFERROR(J69/$J$77,0)))</f>
        <v/>
      </c>
      <c r="V69" s="23" t="s">
        <v>933</v>
      </c>
      <c r="W69" s="22" t="e">
        <f aca="true" t="shared" si="10" ref="W69:W76">O54</f>
        <v>#N/A</v>
      </c>
      <c r="X69" s="29" t="e">
        <f aca="true" t="shared" si="11" ref="X69:X77">IF($B$5="","",IF($B$6=0,"",_xlfn.IFERROR(W69/$W$77,0)))</f>
        <v>#N/A</v>
      </c>
    </row>
    <row r="70" spans="9:24" ht="15">
      <c r="I70" s="23">
        <f aca="true" t="shared" si="12" ref="I70:I76">A55</f>
        <v>1</v>
      </c>
      <c r="J70" s="22" t="str">
        <f aca="true" t="shared" si="13" ref="J70:J76">B55</f>
        <v/>
      </c>
      <c r="K70" s="29" t="str">
        <f t="shared" si="9"/>
        <v/>
      </c>
      <c r="V70" s="23">
        <f aca="true" t="shared" si="14" ref="V70:V76">N55</f>
        <v>1</v>
      </c>
      <c r="W70" s="22" t="e">
        <f t="shared" si="10"/>
        <v>#N/A</v>
      </c>
      <c r="X70" s="29" t="e">
        <f t="shared" si="11"/>
        <v>#N/A</v>
      </c>
    </row>
    <row r="71" spans="9:24" ht="15">
      <c r="I71" s="23">
        <f t="shared" si="12"/>
        <v>2</v>
      </c>
      <c r="J71" s="22" t="str">
        <f t="shared" si="13"/>
        <v/>
      </c>
      <c r="K71" s="29" t="str">
        <f t="shared" si="9"/>
        <v/>
      </c>
      <c r="V71" s="23">
        <f t="shared" si="14"/>
        <v>2</v>
      </c>
      <c r="W71" s="22" t="e">
        <f t="shared" si="10"/>
        <v>#N/A</v>
      </c>
      <c r="X71" s="29" t="e">
        <f t="shared" si="11"/>
        <v>#N/A</v>
      </c>
    </row>
    <row r="72" spans="9:24" ht="15">
      <c r="I72" s="23">
        <f t="shared" si="12"/>
        <v>3</v>
      </c>
      <c r="J72" s="22" t="str">
        <f t="shared" si="13"/>
        <v/>
      </c>
      <c r="K72" s="29" t="str">
        <f t="shared" si="9"/>
        <v/>
      </c>
      <c r="V72" s="23">
        <f t="shared" si="14"/>
        <v>3</v>
      </c>
      <c r="W72" s="22" t="e">
        <f t="shared" si="10"/>
        <v>#N/A</v>
      </c>
      <c r="X72" s="29" t="e">
        <f t="shared" si="11"/>
        <v>#N/A</v>
      </c>
    </row>
    <row r="73" spans="9:24" ht="15">
      <c r="I73" s="23">
        <f t="shared" si="12"/>
        <v>4</v>
      </c>
      <c r="J73" s="22" t="str">
        <f t="shared" si="13"/>
        <v/>
      </c>
      <c r="K73" s="29" t="str">
        <f t="shared" si="9"/>
        <v/>
      </c>
      <c r="V73" s="23">
        <f t="shared" si="14"/>
        <v>4</v>
      </c>
      <c r="W73" s="22" t="e">
        <f t="shared" si="10"/>
        <v>#N/A</v>
      </c>
      <c r="X73" s="29" t="e">
        <f t="shared" si="11"/>
        <v>#N/A</v>
      </c>
    </row>
    <row r="74" spans="9:24" ht="15">
      <c r="I74" s="23">
        <f t="shared" si="12"/>
        <v>5</v>
      </c>
      <c r="J74" s="22" t="str">
        <f t="shared" si="13"/>
        <v/>
      </c>
      <c r="K74" s="29" t="str">
        <f t="shared" si="9"/>
        <v/>
      </c>
      <c r="V74" s="23">
        <f t="shared" si="14"/>
        <v>5</v>
      </c>
      <c r="W74" s="22" t="e">
        <f t="shared" si="10"/>
        <v>#N/A</v>
      </c>
      <c r="X74" s="29" t="e">
        <f t="shared" si="11"/>
        <v>#N/A</v>
      </c>
    </row>
    <row r="75" spans="9:24" ht="15">
      <c r="I75" s="23">
        <f t="shared" si="12"/>
        <v>6</v>
      </c>
      <c r="J75" s="22" t="str">
        <f t="shared" si="13"/>
        <v/>
      </c>
      <c r="K75" s="29" t="str">
        <f t="shared" si="9"/>
        <v/>
      </c>
      <c r="V75" s="23">
        <f t="shared" si="14"/>
        <v>6</v>
      </c>
      <c r="W75" s="22" t="e">
        <f t="shared" si="10"/>
        <v>#N/A</v>
      </c>
      <c r="X75" s="29" t="e">
        <f t="shared" si="11"/>
        <v>#N/A</v>
      </c>
    </row>
    <row r="76" spans="9:24" ht="15">
      <c r="I76" s="23" t="str">
        <f t="shared" si="12"/>
        <v>7+</v>
      </c>
      <c r="J76" s="22" t="str">
        <f t="shared" si="13"/>
        <v/>
      </c>
      <c r="K76" s="29" t="str">
        <f t="shared" si="9"/>
        <v/>
      </c>
      <c r="V76" s="23" t="str">
        <f t="shared" si="14"/>
        <v>7+</v>
      </c>
      <c r="W76" s="22" t="str">
        <f t="shared" si="10"/>
        <v/>
      </c>
      <c r="X76" s="29" t="e">
        <f t="shared" si="11"/>
        <v>#N/A</v>
      </c>
    </row>
    <row r="77" spans="2:24" ht="15">
      <c r="B77" t="s">
        <v>836</v>
      </c>
      <c r="C77" t="s">
        <v>828</v>
      </c>
      <c r="D77" t="s">
        <v>817</v>
      </c>
      <c r="E77" t="s">
        <v>818</v>
      </c>
      <c r="I77" s="23" t="s">
        <v>838</v>
      </c>
      <c r="J77" s="22" t="str">
        <f>IF($I$5="","",IF($I$6=0,"",SUM(J69:J76)))</f>
        <v/>
      </c>
      <c r="K77" s="29" t="str">
        <f t="shared" si="9"/>
        <v/>
      </c>
      <c r="O77" t="s">
        <v>836</v>
      </c>
      <c r="P77" t="s">
        <v>828</v>
      </c>
      <c r="Q77" t="s">
        <v>817</v>
      </c>
      <c r="R77" t="s">
        <v>818</v>
      </c>
      <c r="V77" s="23" t="s">
        <v>838</v>
      </c>
      <c r="W77" s="22" t="e">
        <f>IF($B$5="","",IF($B$6=0,"",SUM(W69:W76)))</f>
        <v>#N/A</v>
      </c>
      <c r="X77" s="29" t="e">
        <f t="shared" si="11"/>
        <v>#N/A</v>
      </c>
    </row>
    <row r="78" spans="1:18" ht="15">
      <c r="A78" t="s">
        <v>832</v>
      </c>
      <c r="B78" t="str">
        <f>IF($I$5="","",INDEX(ReportAndOutcomeHistory!66:66,MATCH($I$5,ReportAndOutcomeHistory!$1:$1,0)))</f>
        <v/>
      </c>
      <c r="C78" t="str">
        <f>IF($I$5="","",INDEX(ReportAndOutcomeHistory!70:70,MATCH($I$5,ReportAndOutcomeHistory!$1:$1,0)))</f>
        <v/>
      </c>
      <c r="D78" t="str">
        <f>IF($I$5="","",INDEX(ReportAndOutcomeHistory!74:74,MATCH($I$5,ReportAndOutcomeHistory!$1:$1,0)))</f>
        <v/>
      </c>
      <c r="E78" t="str">
        <f>IF($I$5="","",INDEX(ReportAndOutcomeHistory!78:78,MATCH($I$5,ReportAndOutcomeHistory!$1:$1,0)))</f>
        <v/>
      </c>
      <c r="N78" t="s">
        <v>832</v>
      </c>
      <c r="O78" t="e">
        <f>IF($B$5="","",INDEX(ReportAndOutcomeHistory!231:231,MATCH($B$5,ReportAndOutcomeHistory!$1:$1,0)))</f>
        <v>#N/A</v>
      </c>
      <c r="P78" t="e">
        <f>IF($B$5="","",INDEX(ReportAndOutcomeHistory!235:235,MATCH($B$5,ReportAndOutcomeHistory!$1:$1,0)))</f>
        <v>#N/A</v>
      </c>
      <c r="Q78" t="e">
        <f>IF($B$5="","",INDEX(ReportAndOutcomeHistory!239:239,MATCH($B$5,ReportAndOutcomeHistory!$1:$1,0)))</f>
        <v>#N/A</v>
      </c>
      <c r="R78" t="e">
        <f>IF($B$5="","",INDEX(ReportAndOutcomeHistory!243:243,MATCH($B$5,ReportAndOutcomeHistory!$1:$1,0)))</f>
        <v>#N/A</v>
      </c>
    </row>
    <row r="79" spans="1:18" ht="15">
      <c r="A79" t="s">
        <v>833</v>
      </c>
      <c r="B79" t="str">
        <f>IF($I$5="","",INDEX(ReportAndOutcomeHistory!67:67,MATCH($I$5,ReportAndOutcomeHistory!$1:$1,0)))</f>
        <v/>
      </c>
      <c r="C79" t="str">
        <f>IF($I$5="","",INDEX(ReportAndOutcomeHistory!71:71,MATCH($I$5,ReportAndOutcomeHistory!$1:$1,0)))</f>
        <v/>
      </c>
      <c r="D79" t="str">
        <f>IF($I$5="","",INDEX(ReportAndOutcomeHistory!75:75,MATCH($I$5,ReportAndOutcomeHistory!$1:$1,0)))</f>
        <v/>
      </c>
      <c r="E79" t="str">
        <f>IF($I$5="","",INDEX(ReportAndOutcomeHistory!79:79,MATCH($I$5,ReportAndOutcomeHistory!$1:$1,0)))</f>
        <v/>
      </c>
      <c r="N79" t="s">
        <v>833</v>
      </c>
      <c r="O79" t="e">
        <f>IF($B$5="","",INDEX(ReportAndOutcomeHistory!232:232,MATCH($B$5,ReportAndOutcomeHistory!$1:$1,0)))</f>
        <v>#N/A</v>
      </c>
      <c r="P79" t="e">
        <f>IF($B$5="","",INDEX(ReportAndOutcomeHistory!236:236,MATCH($B$5,ReportAndOutcomeHistory!$1:$1,0)))</f>
        <v>#N/A</v>
      </c>
      <c r="Q79" t="e">
        <f>IF($B$5="","",INDEX(ReportAndOutcomeHistory!240:240,MATCH($B$5,ReportAndOutcomeHistory!$1:$1,0)))</f>
        <v>#N/A</v>
      </c>
      <c r="R79" t="e">
        <f>IF($B$5="","",INDEX(ReportAndOutcomeHistory!244:244,MATCH($B$5,ReportAndOutcomeHistory!$1:$1,0)))</f>
        <v>#N/A</v>
      </c>
    </row>
    <row r="80" spans="1:18" ht="15">
      <c r="A80" t="s">
        <v>834</v>
      </c>
      <c r="B80" t="str">
        <f>IF($I$5="","",INDEX(ReportAndOutcomeHistory!68:68,MATCH($I$5,ReportAndOutcomeHistory!$1:$1,0)))</f>
        <v/>
      </c>
      <c r="C80" t="str">
        <f>IF($I$5="","",INDEX(ReportAndOutcomeHistory!72:72,MATCH($I$5,ReportAndOutcomeHistory!$1:$1,0)))</f>
        <v/>
      </c>
      <c r="D80" t="str">
        <f>IF($I$5="","",INDEX(ReportAndOutcomeHistory!76:76,MATCH($I$5,ReportAndOutcomeHistory!$1:$1,0)))</f>
        <v/>
      </c>
      <c r="E80" t="str">
        <f>IF($I$5="","",INDEX(ReportAndOutcomeHistory!80:80,MATCH($I$5,ReportAndOutcomeHistory!$1:$1,0)))</f>
        <v/>
      </c>
      <c r="N80" t="s">
        <v>834</v>
      </c>
      <c r="O80" t="e">
        <f>IF($B$5="","",INDEX(ReportAndOutcomeHistory!233:233,MATCH($B$5,ReportAndOutcomeHistory!$1:$1,0)))</f>
        <v>#N/A</v>
      </c>
      <c r="P80" t="e">
        <f>IF($B$5="","",INDEX(ReportAndOutcomeHistory!237:237,MATCH($B$5,ReportAndOutcomeHistory!$1:$1,0)))</f>
        <v>#N/A</v>
      </c>
      <c r="Q80" t="e">
        <f>IF($B$5="","",INDEX(ReportAndOutcomeHistory!241:241,MATCH($B$5,ReportAndOutcomeHistory!$1:$1,0)))</f>
        <v>#N/A</v>
      </c>
      <c r="R80" t="e">
        <f>IF($B$5="","",INDEX(ReportAndOutcomeHistory!245:245,MATCH($B$5,ReportAndOutcomeHistory!$1:$1,0)))</f>
        <v>#N/A</v>
      </c>
    </row>
    <row r="81" spans="1:18" ht="15">
      <c r="A81" t="s">
        <v>835</v>
      </c>
      <c r="B81" t="str">
        <f>IF($I$5="","",INDEX(ReportAndOutcomeHistory!69:69,MATCH($I$5,ReportAndOutcomeHistory!$1:$1,0)))</f>
        <v/>
      </c>
      <c r="C81" t="str">
        <f>IF($I$5="","",INDEX(ReportAndOutcomeHistory!73:73,MATCH($I$5,ReportAndOutcomeHistory!$1:$1,0)))</f>
        <v/>
      </c>
      <c r="D81" t="str">
        <f>IF($I$5="","",INDEX(ReportAndOutcomeHistory!77:77,MATCH($I$5,ReportAndOutcomeHistory!$1:$1,0)))</f>
        <v/>
      </c>
      <c r="E81" t="str">
        <f>IF($I$5="","",INDEX(ReportAndOutcomeHistory!81:81,MATCH($I$5,ReportAndOutcomeHistory!$1:$1,0)))</f>
        <v/>
      </c>
      <c r="N81" t="s">
        <v>835</v>
      </c>
      <c r="O81" t="e">
        <f>IF($B$5="","",INDEX(ReportAndOutcomeHistory!234:234,MATCH($B$5,ReportAndOutcomeHistory!$1:$1,0)))</f>
        <v>#N/A</v>
      </c>
      <c r="P81" t="e">
        <f>IF($B$5="","",INDEX(ReportAndOutcomeHistory!238:238,MATCH($B$5,ReportAndOutcomeHistory!$1:$1,0)))</f>
        <v>#N/A</v>
      </c>
      <c r="Q81" t="e">
        <f>IF($B$5="","",INDEX(ReportAndOutcomeHistory!242:242,MATCH($B$5,ReportAndOutcomeHistory!$1:$1,0)))</f>
        <v>#N/A</v>
      </c>
      <c r="R81" t="e">
        <f>IF($B$5="","",INDEX(ReportAndOutcomeHistory!246:246,MATCH($B$5,ReportAndOutcomeHistory!$1:$1,0)))</f>
        <v>#N/A</v>
      </c>
    </row>
    <row r="82" spans="1:18" ht="15">
      <c r="A82" t="s">
        <v>838</v>
      </c>
      <c r="B82" t="str">
        <f>IF($I$5="","",SUM(B78:B81))</f>
        <v/>
      </c>
      <c r="C82" t="str">
        <f>IF($I$5="","",SUM(C78:C81))</f>
        <v/>
      </c>
      <c r="D82" t="str">
        <f>IF($I$5="","",SUM(D78:D81))</f>
        <v/>
      </c>
      <c r="E82" t="str">
        <f>IF($I$5="","",SUM(E78:E81))</f>
        <v/>
      </c>
      <c r="N82" t="s">
        <v>838</v>
      </c>
      <c r="O82" t="e">
        <f>IF($B$5="","",SUM(O78:O81))</f>
        <v>#N/A</v>
      </c>
      <c r="P82" t="e">
        <f>IF($B$5="","",SUM(P78:P81))</f>
        <v>#N/A</v>
      </c>
      <c r="Q82" t="e">
        <f>IF($B$5="","",SUM(Q78:Q81))</f>
        <v>#N/A</v>
      </c>
      <c r="R82" t="e">
        <f>IF($B$5="","",SUM(R78:R81))</f>
        <v>#N/A</v>
      </c>
    </row>
    <row r="83" spans="2:18" ht="15">
      <c r="B83" t="s">
        <v>836</v>
      </c>
      <c r="C83" t="s">
        <v>828</v>
      </c>
      <c r="D83" t="s">
        <v>817</v>
      </c>
      <c r="E83" t="s">
        <v>818</v>
      </c>
      <c r="O83" t="s">
        <v>836</v>
      </c>
      <c r="P83" t="s">
        <v>828</v>
      </c>
      <c r="Q83" t="s">
        <v>817</v>
      </c>
      <c r="R83" t="s">
        <v>818</v>
      </c>
    </row>
    <row r="84" spans="1:18" ht="15">
      <c r="A84" t="s">
        <v>832</v>
      </c>
      <c r="B84" t="e">
        <f>IF(OR(B78=0,B78=""),NA(),B78)</f>
        <v>#N/A</v>
      </c>
      <c r="C84" t="e">
        <f>IF(OR(C78=0,C78=""),NA(),C78)</f>
        <v>#N/A</v>
      </c>
      <c r="D84" t="e">
        <f>IF(OR(D78=0,D78=""),NA(),D78)</f>
        <v>#N/A</v>
      </c>
      <c r="E84" t="e">
        <f>IF(OR(E78=0,E78=""),NA(),E78)</f>
        <v>#N/A</v>
      </c>
      <c r="N84" t="s">
        <v>832</v>
      </c>
      <c r="O84" t="e">
        <f aca="true" t="shared" si="15" ref="O84:R88">IF(OR(O78=0,O78=""),NA(),O78)</f>
        <v>#N/A</v>
      </c>
      <c r="P84" t="e">
        <f t="shared" si="15"/>
        <v>#N/A</v>
      </c>
      <c r="Q84" t="e">
        <f t="shared" si="15"/>
        <v>#N/A</v>
      </c>
      <c r="R84" t="e">
        <f t="shared" si="15"/>
        <v>#N/A</v>
      </c>
    </row>
    <row r="85" spans="1:18" ht="15">
      <c r="A85" t="s">
        <v>833</v>
      </c>
      <c r="B85" t="e">
        <f aca="true" t="shared" si="16" ref="B85:E86">IF(OR(B79=0,B79=""),NA(),B79)</f>
        <v>#N/A</v>
      </c>
      <c r="C85" t="e">
        <f t="shared" si="16"/>
        <v>#N/A</v>
      </c>
      <c r="D85" t="e">
        <f t="shared" si="16"/>
        <v>#N/A</v>
      </c>
      <c r="E85" t="e">
        <f t="shared" si="16"/>
        <v>#N/A</v>
      </c>
      <c r="N85" t="s">
        <v>833</v>
      </c>
      <c r="O85" t="e">
        <f t="shared" si="15"/>
        <v>#N/A</v>
      </c>
      <c r="P85" t="e">
        <f t="shared" si="15"/>
        <v>#N/A</v>
      </c>
      <c r="Q85" t="e">
        <f t="shared" si="15"/>
        <v>#N/A</v>
      </c>
      <c r="R85" t="e">
        <f t="shared" si="15"/>
        <v>#N/A</v>
      </c>
    </row>
    <row r="86" spans="1:18" ht="15">
      <c r="A86" t="s">
        <v>834</v>
      </c>
      <c r="B86" t="e">
        <f t="shared" si="16"/>
        <v>#N/A</v>
      </c>
      <c r="C86" t="e">
        <f>IF(OR(C80=0,C80=""),NA(),C80)</f>
        <v>#N/A</v>
      </c>
      <c r="D86" t="e">
        <f>IF(OR(D80=0,D80=""),NA(),D80)</f>
        <v>#N/A</v>
      </c>
      <c r="E86" t="e">
        <f>IF(OR(E80=0,E80=""),NA(),E80)</f>
        <v>#N/A</v>
      </c>
      <c r="N86" t="s">
        <v>834</v>
      </c>
      <c r="O86" t="e">
        <f t="shared" si="15"/>
        <v>#N/A</v>
      </c>
      <c r="P86" t="e">
        <f t="shared" si="15"/>
        <v>#N/A</v>
      </c>
      <c r="Q86" t="e">
        <f t="shared" si="15"/>
        <v>#N/A</v>
      </c>
      <c r="R86" t="e">
        <f t="shared" si="15"/>
        <v>#N/A</v>
      </c>
    </row>
    <row r="87" spans="1:18" ht="15">
      <c r="A87" t="s">
        <v>835</v>
      </c>
      <c r="B87" t="e">
        <f aca="true" t="shared" si="17" ref="B87:E88">IF(OR(B81=0,B81=""),NA(),B81)</f>
        <v>#N/A</v>
      </c>
      <c r="C87" t="e">
        <f t="shared" si="17"/>
        <v>#N/A</v>
      </c>
      <c r="D87" t="e">
        <f t="shared" si="17"/>
        <v>#N/A</v>
      </c>
      <c r="E87" t="e">
        <f t="shared" si="17"/>
        <v>#N/A</v>
      </c>
      <c r="N87" t="s">
        <v>835</v>
      </c>
      <c r="O87" t="e">
        <f t="shared" si="15"/>
        <v>#N/A</v>
      </c>
      <c r="P87" t="e">
        <f t="shared" si="15"/>
        <v>#N/A</v>
      </c>
      <c r="Q87" t="e">
        <f t="shared" si="15"/>
        <v>#N/A</v>
      </c>
      <c r="R87" t="e">
        <f t="shared" si="15"/>
        <v>#N/A</v>
      </c>
    </row>
    <row r="88" spans="1:18" ht="15">
      <c r="A88" t="s">
        <v>838</v>
      </c>
      <c r="B88" t="e">
        <f t="shared" si="17"/>
        <v>#N/A</v>
      </c>
      <c r="C88" t="e">
        <f t="shared" si="17"/>
        <v>#N/A</v>
      </c>
      <c r="D88" t="e">
        <f t="shared" si="17"/>
        <v>#N/A</v>
      </c>
      <c r="E88" t="e">
        <f t="shared" si="17"/>
        <v>#N/A</v>
      </c>
      <c r="N88" t="s">
        <v>838</v>
      </c>
      <c r="O88" t="e">
        <f t="shared" si="15"/>
        <v>#N/A</v>
      </c>
      <c r="P88" t="e">
        <f t="shared" si="15"/>
        <v>#N/A</v>
      </c>
      <c r="Q88" t="e">
        <f t="shared" si="15"/>
        <v>#N/A</v>
      </c>
      <c r="R88" t="e">
        <f t="shared" si="15"/>
        <v>#N/A</v>
      </c>
    </row>
    <row r="89" spans="2:18" ht="15">
      <c r="B89" t="s">
        <v>836</v>
      </c>
      <c r="C89" t="s">
        <v>828</v>
      </c>
      <c r="D89" t="s">
        <v>817</v>
      </c>
      <c r="E89" t="s">
        <v>818</v>
      </c>
      <c r="O89" t="s">
        <v>836</v>
      </c>
      <c r="P89" t="s">
        <v>828</v>
      </c>
      <c r="Q89" t="s">
        <v>817</v>
      </c>
      <c r="R89" t="s">
        <v>818</v>
      </c>
    </row>
    <row r="90" spans="1:20" ht="15">
      <c r="A90" t="s">
        <v>832</v>
      </c>
      <c r="B90" s="10" t="str">
        <f aca="true" t="shared" si="18" ref="B90:E94">IF($I$5="","",_xlfn.IFERROR(B78/SUM(B$78:B$81),"n/a"))</f>
        <v/>
      </c>
      <c r="C90" s="10" t="str">
        <f t="shared" si="18"/>
        <v/>
      </c>
      <c r="D90" s="10" t="str">
        <f t="shared" si="18"/>
        <v/>
      </c>
      <c r="E90" s="10" t="str">
        <f t="shared" si="18"/>
        <v/>
      </c>
      <c r="F90" s="10"/>
      <c r="G90" s="10"/>
      <c r="N90" t="s">
        <v>832</v>
      </c>
      <c r="O90" s="10" t="str">
        <f aca="true" t="shared" si="19" ref="O90:R94">IF($B$5="","",_xlfn.IFERROR(O78/SUM(O$78:O$81),"n/a"))</f>
        <v>n/a</v>
      </c>
      <c r="P90" s="10" t="str">
        <f t="shared" si="19"/>
        <v>n/a</v>
      </c>
      <c r="Q90" s="10" t="str">
        <f t="shared" si="19"/>
        <v>n/a</v>
      </c>
      <c r="R90" s="10" t="str">
        <f t="shared" si="19"/>
        <v>n/a</v>
      </c>
      <c r="S90" s="10"/>
      <c r="T90" s="10"/>
    </row>
    <row r="91" spans="1:20" ht="15">
      <c r="A91" t="s">
        <v>833</v>
      </c>
      <c r="B91" s="10" t="str">
        <f t="shared" si="18"/>
        <v/>
      </c>
      <c r="C91" s="10" t="str">
        <f t="shared" si="18"/>
        <v/>
      </c>
      <c r="D91" s="10" t="str">
        <f t="shared" si="18"/>
        <v/>
      </c>
      <c r="E91" s="10" t="str">
        <f t="shared" si="18"/>
        <v/>
      </c>
      <c r="F91" s="10"/>
      <c r="G91" s="10"/>
      <c r="N91" t="s">
        <v>833</v>
      </c>
      <c r="O91" s="10" t="str">
        <f t="shared" si="19"/>
        <v>n/a</v>
      </c>
      <c r="P91" s="10" t="str">
        <f t="shared" si="19"/>
        <v>n/a</v>
      </c>
      <c r="Q91" s="10" t="str">
        <f t="shared" si="19"/>
        <v>n/a</v>
      </c>
      <c r="R91" s="10" t="str">
        <f t="shared" si="19"/>
        <v>n/a</v>
      </c>
      <c r="S91" s="10"/>
      <c r="T91" s="10"/>
    </row>
    <row r="92" spans="1:20" ht="15">
      <c r="A92" t="s">
        <v>834</v>
      </c>
      <c r="B92" s="10" t="str">
        <f t="shared" si="18"/>
        <v/>
      </c>
      <c r="C92" s="10" t="str">
        <f t="shared" si="18"/>
        <v/>
      </c>
      <c r="D92" s="10" t="str">
        <f t="shared" si="18"/>
        <v/>
      </c>
      <c r="E92" s="10" t="str">
        <f t="shared" si="18"/>
        <v/>
      </c>
      <c r="F92" s="10"/>
      <c r="G92" s="10"/>
      <c r="N92" t="s">
        <v>834</v>
      </c>
      <c r="O92" s="10" t="str">
        <f t="shared" si="19"/>
        <v>n/a</v>
      </c>
      <c r="P92" s="10" t="str">
        <f t="shared" si="19"/>
        <v>n/a</v>
      </c>
      <c r="Q92" s="10" t="str">
        <f t="shared" si="19"/>
        <v>n/a</v>
      </c>
      <c r="R92" s="10" t="str">
        <f t="shared" si="19"/>
        <v>n/a</v>
      </c>
      <c r="S92" s="10"/>
      <c r="T92" s="10"/>
    </row>
    <row r="93" spans="1:20" ht="15">
      <c r="A93" t="s">
        <v>835</v>
      </c>
      <c r="B93" s="10" t="str">
        <f t="shared" si="18"/>
        <v/>
      </c>
      <c r="C93" s="10" t="str">
        <f t="shared" si="18"/>
        <v/>
      </c>
      <c r="D93" s="10" t="str">
        <f t="shared" si="18"/>
        <v/>
      </c>
      <c r="E93" s="10" t="str">
        <f t="shared" si="18"/>
        <v/>
      </c>
      <c r="F93" s="10"/>
      <c r="G93" s="10"/>
      <c r="N93" t="s">
        <v>835</v>
      </c>
      <c r="O93" s="10" t="str">
        <f t="shared" si="19"/>
        <v>n/a</v>
      </c>
      <c r="P93" s="10" t="str">
        <f t="shared" si="19"/>
        <v>n/a</v>
      </c>
      <c r="Q93" s="10" t="str">
        <f t="shared" si="19"/>
        <v>n/a</v>
      </c>
      <c r="R93" s="10" t="str">
        <f t="shared" si="19"/>
        <v>n/a</v>
      </c>
      <c r="S93" s="10"/>
      <c r="T93" s="10"/>
    </row>
    <row r="94" spans="1:26" s="20" customFormat="1" ht="30">
      <c r="A94" t="s">
        <v>838</v>
      </c>
      <c r="B94" s="10" t="str">
        <f t="shared" si="18"/>
        <v/>
      </c>
      <c r="C94" s="10" t="str">
        <f t="shared" si="18"/>
        <v/>
      </c>
      <c r="D94" s="10" t="str">
        <f t="shared" si="18"/>
        <v/>
      </c>
      <c r="E94" s="10" t="str">
        <f t="shared" si="18"/>
        <v/>
      </c>
      <c r="F94"/>
      <c r="G94"/>
      <c r="I94" s="26" t="s">
        <v>993</v>
      </c>
      <c r="J94" s="25" t="s">
        <v>836</v>
      </c>
      <c r="K94" s="25" t="s">
        <v>828</v>
      </c>
      <c r="L94" s="25" t="s">
        <v>817</v>
      </c>
      <c r="M94" s="25" t="s">
        <v>818</v>
      </c>
      <c r="N94" t="s">
        <v>838</v>
      </c>
      <c r="O94" s="10" t="str">
        <f t="shared" si="19"/>
        <v>n/a</v>
      </c>
      <c r="P94" s="10" t="str">
        <f t="shared" si="19"/>
        <v>n/a</v>
      </c>
      <c r="Q94" s="10" t="str">
        <f t="shared" si="19"/>
        <v>n/a</v>
      </c>
      <c r="R94" s="10" t="str">
        <f t="shared" si="19"/>
        <v>n/a</v>
      </c>
      <c r="S94"/>
      <c r="T94"/>
      <c r="V94" s="26" t="s">
        <v>993</v>
      </c>
      <c r="W94" s="25" t="s">
        <v>836</v>
      </c>
      <c r="X94" s="25" t="s">
        <v>828</v>
      </c>
      <c r="Y94" s="25" t="s">
        <v>817</v>
      </c>
      <c r="Z94" s="25" t="s">
        <v>818</v>
      </c>
    </row>
    <row r="95" spans="2:26" ht="15">
      <c r="B95" t="s">
        <v>836</v>
      </c>
      <c r="C95" t="s">
        <v>828</v>
      </c>
      <c r="D95" t="s">
        <v>817</v>
      </c>
      <c r="E95" t="s">
        <v>818</v>
      </c>
      <c r="I95" s="23" t="str">
        <f>A84</f>
        <v>No current PTM orders</v>
      </c>
      <c r="J95" s="22" t="str">
        <f aca="true" t="shared" si="20" ref="J95:M99">IF($I$5="","",B78&amp;" ("&amp;TEXT(B90,"0%")&amp;")")</f>
        <v/>
      </c>
      <c r="K95" s="22" t="str">
        <f t="shared" si="20"/>
        <v/>
      </c>
      <c r="L95" s="22" t="str">
        <f t="shared" si="20"/>
        <v/>
      </c>
      <c r="M95" s="22" t="str">
        <f t="shared" si="20"/>
        <v/>
      </c>
      <c r="O95" t="s">
        <v>836</v>
      </c>
      <c r="P95" t="s">
        <v>828</v>
      </c>
      <c r="Q95" t="s">
        <v>817</v>
      </c>
      <c r="R95" t="s">
        <v>818</v>
      </c>
      <c r="V95" s="23" t="str">
        <f>N84</f>
        <v>No current PTM orders</v>
      </c>
      <c r="W95" s="22" t="e">
        <f aca="true" t="shared" si="21" ref="W95:Z99">IF($B$5="","",O78&amp;" ("&amp;TEXT(O90,"0%")&amp;")")</f>
        <v>#N/A</v>
      </c>
      <c r="X95" s="22" t="e">
        <f t="shared" si="21"/>
        <v>#N/A</v>
      </c>
      <c r="Y95" s="22" t="e">
        <f t="shared" si="21"/>
        <v>#N/A</v>
      </c>
      <c r="Z95" s="22" t="e">
        <f t="shared" si="21"/>
        <v>#N/A</v>
      </c>
    </row>
    <row r="96" spans="1:26" ht="15">
      <c r="A96" t="s">
        <v>832</v>
      </c>
      <c r="B96" s="10" t="e">
        <f aca="true" t="shared" si="22" ref="B96:E98">IF(OR(B90=0,B90="",B90="n/a"),NA(),B90)</f>
        <v>#N/A</v>
      </c>
      <c r="C96" s="10" t="e">
        <f t="shared" si="22"/>
        <v>#N/A</v>
      </c>
      <c r="D96" s="10" t="e">
        <f t="shared" si="22"/>
        <v>#N/A</v>
      </c>
      <c r="E96" s="10" t="e">
        <f t="shared" si="22"/>
        <v>#N/A</v>
      </c>
      <c r="F96" s="10"/>
      <c r="G96" s="10"/>
      <c r="I96" s="23" t="str">
        <f>A85</f>
        <v>1 PTM order</v>
      </c>
      <c r="J96" s="22" t="str">
        <f t="shared" si="20"/>
        <v/>
      </c>
      <c r="K96" s="22" t="str">
        <f t="shared" si="20"/>
        <v/>
      </c>
      <c r="L96" s="22" t="str">
        <f t="shared" si="20"/>
        <v/>
      </c>
      <c r="M96" s="22" t="str">
        <f t="shared" si="20"/>
        <v/>
      </c>
      <c r="N96" t="s">
        <v>832</v>
      </c>
      <c r="O96" s="10" t="e">
        <f aca="true" t="shared" si="23" ref="O96:R100">IF(OR(O90=0,O90="",O90="n/a"),NA(),O90)</f>
        <v>#N/A</v>
      </c>
      <c r="P96" s="10" t="e">
        <f t="shared" si="23"/>
        <v>#N/A</v>
      </c>
      <c r="Q96" s="10" t="e">
        <f t="shared" si="23"/>
        <v>#N/A</v>
      </c>
      <c r="R96" s="10" t="e">
        <f t="shared" si="23"/>
        <v>#N/A</v>
      </c>
      <c r="S96" s="10"/>
      <c r="T96" s="10"/>
      <c r="V96" s="23" t="str">
        <f>N85</f>
        <v>1 PTM order</v>
      </c>
      <c r="W96" s="22" t="e">
        <f t="shared" si="21"/>
        <v>#N/A</v>
      </c>
      <c r="X96" s="22" t="e">
        <f t="shared" si="21"/>
        <v>#N/A</v>
      </c>
      <c r="Y96" s="22" t="e">
        <f t="shared" si="21"/>
        <v>#N/A</v>
      </c>
      <c r="Z96" s="22" t="e">
        <f t="shared" si="21"/>
        <v>#N/A</v>
      </c>
    </row>
    <row r="97" spans="1:26" ht="15">
      <c r="A97" t="s">
        <v>833</v>
      </c>
      <c r="B97" s="10" t="e">
        <f t="shared" si="22"/>
        <v>#N/A</v>
      </c>
      <c r="C97" s="10" t="e">
        <f t="shared" si="22"/>
        <v>#N/A</v>
      </c>
      <c r="D97" s="10" t="e">
        <f t="shared" si="22"/>
        <v>#N/A</v>
      </c>
      <c r="E97" s="10" t="e">
        <f t="shared" si="22"/>
        <v>#N/A</v>
      </c>
      <c r="F97" s="10"/>
      <c r="G97" s="10"/>
      <c r="I97" s="23" t="str">
        <f>A86</f>
        <v>2 PTM orders</v>
      </c>
      <c r="J97" s="22" t="str">
        <f t="shared" si="20"/>
        <v/>
      </c>
      <c r="K97" s="22" t="str">
        <f t="shared" si="20"/>
        <v/>
      </c>
      <c r="L97" s="22" t="str">
        <f t="shared" si="20"/>
        <v/>
      </c>
      <c r="M97" s="22" t="str">
        <f t="shared" si="20"/>
        <v/>
      </c>
      <c r="N97" t="s">
        <v>833</v>
      </c>
      <c r="O97" s="10" t="e">
        <f t="shared" si="23"/>
        <v>#N/A</v>
      </c>
      <c r="P97" s="10" t="e">
        <f t="shared" si="23"/>
        <v>#N/A</v>
      </c>
      <c r="Q97" s="10" t="e">
        <f t="shared" si="23"/>
        <v>#N/A</v>
      </c>
      <c r="R97" s="10" t="e">
        <f t="shared" si="23"/>
        <v>#N/A</v>
      </c>
      <c r="S97" s="10"/>
      <c r="T97" s="10"/>
      <c r="V97" s="23" t="str">
        <f>N86</f>
        <v>2 PTM orders</v>
      </c>
      <c r="W97" s="22" t="e">
        <f t="shared" si="21"/>
        <v>#N/A</v>
      </c>
      <c r="X97" s="22" t="e">
        <f t="shared" si="21"/>
        <v>#N/A</v>
      </c>
      <c r="Y97" s="22" t="e">
        <f t="shared" si="21"/>
        <v>#N/A</v>
      </c>
      <c r="Z97" s="22" t="e">
        <f t="shared" si="21"/>
        <v>#N/A</v>
      </c>
    </row>
    <row r="98" spans="1:26" ht="15">
      <c r="A98" t="s">
        <v>834</v>
      </c>
      <c r="B98" s="10" t="e">
        <f t="shared" si="22"/>
        <v>#N/A</v>
      </c>
      <c r="C98" s="10" t="e">
        <f t="shared" si="22"/>
        <v>#N/A</v>
      </c>
      <c r="D98" s="10" t="e">
        <f t="shared" si="22"/>
        <v>#N/A</v>
      </c>
      <c r="E98" s="10" t="e">
        <f t="shared" si="22"/>
        <v>#N/A</v>
      </c>
      <c r="F98" s="10"/>
      <c r="G98" s="10"/>
      <c r="I98" s="23" t="str">
        <f>A87</f>
        <v>3+ PTM orders</v>
      </c>
      <c r="J98" s="22" t="str">
        <f t="shared" si="20"/>
        <v/>
      </c>
      <c r="K98" s="22" t="str">
        <f t="shared" si="20"/>
        <v/>
      </c>
      <c r="L98" s="22" t="str">
        <f t="shared" si="20"/>
        <v/>
      </c>
      <c r="M98" s="22" t="str">
        <f t="shared" si="20"/>
        <v/>
      </c>
      <c r="N98" t="s">
        <v>834</v>
      </c>
      <c r="O98" s="10" t="e">
        <f t="shared" si="23"/>
        <v>#N/A</v>
      </c>
      <c r="P98" s="10" t="e">
        <f t="shared" si="23"/>
        <v>#N/A</v>
      </c>
      <c r="Q98" s="10" t="e">
        <f t="shared" si="23"/>
        <v>#N/A</v>
      </c>
      <c r="R98" s="10" t="e">
        <f t="shared" si="23"/>
        <v>#N/A</v>
      </c>
      <c r="S98" s="10"/>
      <c r="T98" s="10"/>
      <c r="V98" s="23" t="str">
        <f>N87</f>
        <v>3+ PTM orders</v>
      </c>
      <c r="W98" s="22" t="e">
        <f t="shared" si="21"/>
        <v>#N/A</v>
      </c>
      <c r="X98" s="22" t="e">
        <f t="shared" si="21"/>
        <v>#N/A</v>
      </c>
      <c r="Y98" s="22" t="e">
        <f t="shared" si="21"/>
        <v>#N/A</v>
      </c>
      <c r="Z98" s="22" t="e">
        <f t="shared" si="21"/>
        <v>#N/A</v>
      </c>
    </row>
    <row r="99" spans="1:26" ht="15">
      <c r="A99" t="s">
        <v>835</v>
      </c>
      <c r="B99" s="10" t="e">
        <f aca="true" t="shared" si="24" ref="B99:E100">IF(OR(B93=0,B93="",B93="n/a"),NA(),B93)</f>
        <v>#N/A</v>
      </c>
      <c r="C99" s="10" t="e">
        <f t="shared" si="24"/>
        <v>#N/A</v>
      </c>
      <c r="D99" s="10" t="e">
        <f t="shared" si="24"/>
        <v>#N/A</v>
      </c>
      <c r="E99" s="10" t="e">
        <f t="shared" si="24"/>
        <v>#N/A</v>
      </c>
      <c r="F99" s="10"/>
      <c r="G99" s="10"/>
      <c r="I99" s="23" t="str">
        <f>A88</f>
        <v>Total</v>
      </c>
      <c r="J99" s="22" t="str">
        <f t="shared" si="20"/>
        <v/>
      </c>
      <c r="K99" s="22" t="str">
        <f t="shared" si="20"/>
        <v/>
      </c>
      <c r="L99" s="22" t="str">
        <f t="shared" si="20"/>
        <v/>
      </c>
      <c r="M99" s="22" t="str">
        <f t="shared" si="20"/>
        <v/>
      </c>
      <c r="N99" t="s">
        <v>835</v>
      </c>
      <c r="O99" s="10" t="e">
        <f t="shared" si="23"/>
        <v>#N/A</v>
      </c>
      <c r="P99" s="10" t="e">
        <f t="shared" si="23"/>
        <v>#N/A</v>
      </c>
      <c r="Q99" s="10" t="e">
        <f t="shared" si="23"/>
        <v>#N/A</v>
      </c>
      <c r="R99" s="10" t="e">
        <f t="shared" si="23"/>
        <v>#N/A</v>
      </c>
      <c r="S99" s="10"/>
      <c r="T99" s="10"/>
      <c r="V99" s="23" t="str">
        <f>N88</f>
        <v>Total</v>
      </c>
      <c r="W99" s="22" t="e">
        <f t="shared" si="21"/>
        <v>#N/A</v>
      </c>
      <c r="X99" s="22" t="e">
        <f t="shared" si="21"/>
        <v>#N/A</v>
      </c>
      <c r="Y99" s="22" t="e">
        <f t="shared" si="21"/>
        <v>#N/A</v>
      </c>
      <c r="Z99" s="22" t="e">
        <f t="shared" si="21"/>
        <v>#N/A</v>
      </c>
    </row>
    <row r="100" spans="1:20" ht="15">
      <c r="A100" t="s">
        <v>838</v>
      </c>
      <c r="B100" s="10" t="e">
        <f t="shared" si="24"/>
        <v>#N/A</v>
      </c>
      <c r="C100" s="10" t="e">
        <f t="shared" si="24"/>
        <v>#N/A</v>
      </c>
      <c r="D100" s="10" t="e">
        <f t="shared" si="24"/>
        <v>#N/A</v>
      </c>
      <c r="E100" s="10" t="e">
        <f t="shared" si="24"/>
        <v>#N/A</v>
      </c>
      <c r="F100" s="10"/>
      <c r="G100" s="10"/>
      <c r="N100" t="s">
        <v>838</v>
      </c>
      <c r="O100" s="10" t="e">
        <f t="shared" si="23"/>
        <v>#N/A</v>
      </c>
      <c r="P100" s="10" t="e">
        <f t="shared" si="23"/>
        <v>#N/A</v>
      </c>
      <c r="Q100" s="10" t="e">
        <f t="shared" si="23"/>
        <v>#N/A</v>
      </c>
      <c r="R100" s="10" t="e">
        <f t="shared" si="23"/>
        <v>#N/A</v>
      </c>
      <c r="S100" s="10"/>
      <c r="T100" s="10"/>
    </row>
    <row r="101" ht="15"/>
    <row r="102" spans="2:18" ht="15">
      <c r="B102" t="s">
        <v>891</v>
      </c>
      <c r="C102" t="s">
        <v>876</v>
      </c>
      <c r="D102" t="s">
        <v>894</v>
      </c>
      <c r="E102" t="s">
        <v>892</v>
      </c>
      <c r="O102" t="s">
        <v>891</v>
      </c>
      <c r="P102" t="s">
        <v>876</v>
      </c>
      <c r="Q102" t="s">
        <v>894</v>
      </c>
      <c r="R102" t="s">
        <v>892</v>
      </c>
    </row>
    <row r="103" spans="1:18" ht="15">
      <c r="A103" t="s">
        <v>926</v>
      </c>
      <c r="B103" t="str">
        <f>IF($I$5="","",INDEX(ReportAndOutcomeHistory!12:12,MATCH($I$5,ReportAndOutcomeHistory!$1:$1,0))-B104)</f>
        <v/>
      </c>
      <c r="C103" t="str">
        <f>B103</f>
        <v/>
      </c>
      <c r="D103" s="10" t="str">
        <f>_xlfn.IFERROR(B103/B$105,"n/a")</f>
        <v>n/a</v>
      </c>
      <c r="E103" s="10" t="e">
        <f>IF(OR($I$5="",D103="n/a"),NA(),D103)</f>
        <v>#N/A</v>
      </c>
      <c r="N103" t="s">
        <v>926</v>
      </c>
      <c r="O103" t="e">
        <f>IF($B$5="","",INDEX(ReportAndOutcomeHistory!35:35,MATCH($B$5,ReportAndOutcomeHistory!$1:$1,0))-O104)</f>
        <v>#N/A</v>
      </c>
      <c r="P103" t="e">
        <f>O103</f>
        <v>#N/A</v>
      </c>
      <c r="Q103" s="10" t="str">
        <f>_xlfn.IFERROR(O103/O$105,"n/a")</f>
        <v>n/a</v>
      </c>
      <c r="R103" s="10" t="e">
        <f>IF(OR($B$5="",Q103="n/a"),NA(),Q103)</f>
        <v>#N/A</v>
      </c>
    </row>
    <row r="104" spans="1:18" ht="15">
      <c r="A104" t="s">
        <v>927</v>
      </c>
      <c r="B104" t="str">
        <f>IF($I$5="","",INDEX(ReportAndOutcomeHistory!21:21,MATCH($I$5,ReportAndOutcomeHistory!$1:$1,0)))</f>
        <v/>
      </c>
      <c r="C104" t="str">
        <f>B104</f>
        <v/>
      </c>
      <c r="D104" s="10" t="str">
        <f>_xlfn.IFERROR(B104/B$105,"n/a")</f>
        <v>n/a</v>
      </c>
      <c r="E104" s="10" t="e">
        <f>IF(OR($I$5="",D104="n/a"),NA(),D104)</f>
        <v>#N/A</v>
      </c>
      <c r="N104" t="s">
        <v>927</v>
      </c>
      <c r="O104" t="e">
        <f>IF($B$5="","",INDEX(ReportAndOutcomeHistory!44:44,MATCH($B$5,ReportAndOutcomeHistory!$1:$1,0)))</f>
        <v>#N/A</v>
      </c>
      <c r="P104" t="e">
        <f>O104</f>
        <v>#N/A</v>
      </c>
      <c r="Q104" s="10" t="str">
        <f>_xlfn.IFERROR(O104/O$105,"n/a")</f>
        <v>n/a</v>
      </c>
      <c r="R104" s="10" t="e">
        <f>IF(OR($B$5="",Q104="n/a"),NA(),Q104)</f>
        <v>#N/A</v>
      </c>
    </row>
    <row r="105" spans="1:15" ht="15">
      <c r="A105" t="s">
        <v>838</v>
      </c>
      <c r="B105">
        <f>SUM(B103:B104)</f>
        <v>0</v>
      </c>
      <c r="N105" t="s">
        <v>838</v>
      </c>
      <c r="O105" t="e">
        <f>SUM(O103:O104)</f>
        <v>#N/A</v>
      </c>
    </row>
    <row r="106" ht="15"/>
    <row r="107" ht="15"/>
    <row r="108" ht="15"/>
    <row r="109" ht="15"/>
    <row r="110" ht="15"/>
    <row r="111" ht="15"/>
    <row r="112" ht="15"/>
    <row r="113" ht="15"/>
    <row r="114" ht="15"/>
    <row r="115" ht="15"/>
    <row r="116" ht="15"/>
    <row r="117" spans="9:23" ht="15">
      <c r="I117" s="34" t="s">
        <v>994</v>
      </c>
      <c r="J117" s="43" t="s">
        <v>906</v>
      </c>
      <c r="V117" s="34" t="s">
        <v>994</v>
      </c>
      <c r="W117" s="43" t="s">
        <v>906</v>
      </c>
    </row>
    <row r="118" spans="9:23" ht="15">
      <c r="I118" s="21" t="s">
        <v>926</v>
      </c>
      <c r="J118" s="22" t="str">
        <f>IF($I$5="","",C103&amp;" ("&amp;TEXT(D103,"0%")&amp;")")</f>
        <v/>
      </c>
      <c r="V118" s="21" t="s">
        <v>926</v>
      </c>
      <c r="W118" s="22" t="e">
        <f>IF($B$5="","",P103&amp;" ("&amp;TEXT(Q103,"0%")&amp;")")</f>
        <v>#N/A</v>
      </c>
    </row>
    <row r="119" spans="9:23" ht="15">
      <c r="I119" s="21" t="s">
        <v>927</v>
      </c>
      <c r="J119" s="22" t="str">
        <f>IF($I$5="","",C104&amp;" ("&amp;TEXT(D104,"0%")&amp;")")</f>
        <v/>
      </c>
      <c r="V119" s="21" t="s">
        <v>927</v>
      </c>
      <c r="W119" s="22" t="e">
        <f>IF($B$5="","",P104&amp;" ("&amp;TEXT(Q104,"0%")&amp;")")</f>
        <v>#N/A</v>
      </c>
    </row>
    <row r="120" ht="15"/>
    <row r="121" ht="15"/>
    <row r="122" spans="2:18" ht="15">
      <c r="B122" t="s">
        <v>891</v>
      </c>
      <c r="C122" t="s">
        <v>876</v>
      </c>
      <c r="D122" t="s">
        <v>894</v>
      </c>
      <c r="E122" t="s">
        <v>892</v>
      </c>
      <c r="O122" t="s">
        <v>891</v>
      </c>
      <c r="P122" t="s">
        <v>876</v>
      </c>
      <c r="Q122" t="s">
        <v>894</v>
      </c>
      <c r="R122" t="s">
        <v>892</v>
      </c>
    </row>
    <row r="123" spans="1:18" ht="15">
      <c r="A123" t="s">
        <v>974</v>
      </c>
      <c r="B123" t="e">
        <f>B125-B124</f>
        <v>#VALUE!</v>
      </c>
      <c r="C123" t="e">
        <f>B123</f>
        <v>#VALUE!</v>
      </c>
      <c r="D123" s="10" t="str">
        <f>_xlfn.IFERROR(B123/B$125,"n/a")</f>
        <v>n/a</v>
      </c>
      <c r="E123" s="10" t="e">
        <f>IF(OR(D123="n/a",D123=""),NA(),D123)</f>
        <v>#N/A</v>
      </c>
      <c r="N123" t="s">
        <v>974</v>
      </c>
      <c r="O123" t="e">
        <f>O125-O124</f>
        <v>#VALUE!</v>
      </c>
      <c r="P123" t="e">
        <f>O123</f>
        <v>#VALUE!</v>
      </c>
      <c r="Q123" s="10" t="str">
        <f>_xlfn.IFERROR(O123/O$125,"n/a")</f>
        <v>n/a</v>
      </c>
      <c r="R123" s="10" t="e">
        <f>IF(OR(Q123="n/a",Q123=""),NA(),Q123)</f>
        <v>#N/A</v>
      </c>
    </row>
    <row r="124" spans="1:18" ht="15">
      <c r="A124" t="s">
        <v>973</v>
      </c>
      <c r="B124" t="str">
        <f>IF($I$5="","",INDEX(ReportAndOutcomeHistory!144:144,MATCH($I$5,ReportAndOutcomeHistory!$1:$1,0)))</f>
        <v/>
      </c>
      <c r="C124" t="str">
        <f>B124</f>
        <v/>
      </c>
      <c r="D124" s="10" t="str">
        <f>_xlfn.IFERROR(B124/B$125,"n/a")</f>
        <v>n/a</v>
      </c>
      <c r="E124" s="10" t="e">
        <f>IF(OR(D124="n/a",D124=""),NA(),D124)</f>
        <v>#N/A</v>
      </c>
      <c r="N124" t="s">
        <v>973</v>
      </c>
      <c r="O124" t="str">
        <f>IF($I$5="","",INDEX(ReportAndOutcomeHistory!309:309,MATCH($I$5,ReportAndOutcomeHistory!$1:$1,0)))</f>
        <v/>
      </c>
      <c r="P124" t="str">
        <f>O124</f>
        <v/>
      </c>
      <c r="Q124" s="10" t="str">
        <f>_xlfn.IFERROR(O124/O$125,"n/a")</f>
        <v>n/a</v>
      </c>
      <c r="R124" s="10" t="e">
        <f>IF(OR(Q124="n/a",Q124=""),NA(),Q124)</f>
        <v>#N/A</v>
      </c>
    </row>
    <row r="125" spans="1:15" ht="15">
      <c r="A125" t="s">
        <v>972</v>
      </c>
      <c r="B125" t="str">
        <f>IF($I$5="","",INDEX(ReportAndOutcomeHistory!13:13,MATCH($I$5,ReportAndOutcomeHistory!$1:$1,0)))</f>
        <v/>
      </c>
      <c r="N125" t="s">
        <v>972</v>
      </c>
      <c r="O125" t="str">
        <f>IF($I$5="","",INDEX(ReportAndOutcomeHistory!36:36,MATCH($I$5,ReportAndOutcomeHistory!$1:$1,0)))</f>
        <v/>
      </c>
    </row>
    <row r="126" ht="15"/>
    <row r="127" ht="15"/>
    <row r="128" ht="15"/>
    <row r="129" ht="15"/>
    <row r="130" ht="15"/>
    <row r="131" ht="15"/>
    <row r="132" ht="15"/>
    <row r="133" ht="15"/>
    <row r="134" ht="15"/>
    <row r="135" ht="15"/>
    <row r="136" ht="15"/>
    <row r="137" spans="9:23" ht="30">
      <c r="I137" s="34" t="s">
        <v>995</v>
      </c>
      <c r="J137" s="35" t="s">
        <v>745</v>
      </c>
      <c r="V137" s="34" t="s">
        <v>995</v>
      </c>
      <c r="W137" s="35" t="s">
        <v>745</v>
      </c>
    </row>
    <row r="138" spans="9:23" ht="15">
      <c r="I138" s="21" t="str">
        <f>A123</f>
        <v>At Least One Target Symptom</v>
      </c>
      <c r="J138" s="22" t="str">
        <f>IF($I$5="","",C123&amp;" ("&amp;TEXT(D123,"0%")&amp;")")</f>
        <v/>
      </c>
      <c r="V138" s="21" t="str">
        <f>N123</f>
        <v>At Least One Target Symptom</v>
      </c>
      <c r="W138" s="22" t="str">
        <f>IF($I$5="","",P123&amp;" ("&amp;TEXT(Q123,"0%")&amp;")")</f>
        <v/>
      </c>
    </row>
    <row r="139" spans="9:23" ht="15">
      <c r="I139" s="21" t="str">
        <f>A124</f>
        <v>No Target Symptom Specified</v>
      </c>
      <c r="J139" s="22" t="str">
        <f>IF($I$5="","",C124&amp;" ("&amp;TEXT(D124,"0%")&amp;")")</f>
        <v/>
      </c>
      <c r="V139" s="21" t="str">
        <f>N124</f>
        <v>No Target Symptom Specified</v>
      </c>
      <c r="W139" s="22" t="str">
        <f>IF($I$5="","",P124&amp;" ("&amp;TEXT(Q124,"0%")&amp;")")</f>
        <v/>
      </c>
    </row>
    <row r="140" ht="15"/>
    <row r="141" ht="15"/>
    <row r="142" spans="1:19" ht="15">
      <c r="A142" t="s">
        <v>822</v>
      </c>
      <c r="B142" t="s">
        <v>824</v>
      </c>
      <c r="C142" t="s">
        <v>825</v>
      </c>
      <c r="D142" t="s">
        <v>825</v>
      </c>
      <c r="E142" t="s">
        <v>844</v>
      </c>
      <c r="F142" t="s">
        <v>844</v>
      </c>
      <c r="N142" t="s">
        <v>822</v>
      </c>
      <c r="O142" t="s">
        <v>824</v>
      </c>
      <c r="P142" t="s">
        <v>825</v>
      </c>
      <c r="Q142" t="s">
        <v>825</v>
      </c>
      <c r="R142" t="s">
        <v>844</v>
      </c>
      <c r="S142" t="s">
        <v>844</v>
      </c>
    </row>
    <row r="143" spans="1:20" ht="15">
      <c r="A143">
        <v>1</v>
      </c>
      <c r="B143" t="str">
        <f>IF($I$5="","",INDEX(ReportAndOutcomeHistory!123:123,MATCH($I$5,ReportAndOutcomeHistory!$1:$1,0)))</f>
        <v/>
      </c>
      <c r="C143" t="str">
        <f>IF($I$5="","",INDEX(ReportAndOutcomeHistory!133:133,MATCH($I$5,ReportAndOutcomeHistory!$1:$1,0)))</f>
        <v/>
      </c>
      <c r="D143" t="e">
        <f aca="true" t="shared" si="25" ref="D143:D154">IF(OR($I$6=0,C143=0),NA(),C143)</f>
        <v>#N/A</v>
      </c>
      <c r="E143" s="10" t="str">
        <f aca="true" t="shared" si="26" ref="E143:E154">_xlfn.IFERROR(C143/$C$154,"n/a")</f>
        <v>n/a</v>
      </c>
      <c r="F143" s="10" t="e">
        <f aca="true" t="shared" si="27" ref="F143:F154">IF(OR($I$6=0,E143=0),NA(),E143)</f>
        <v>#N/A</v>
      </c>
      <c r="G143" s="10"/>
      <c r="N143">
        <v>1</v>
      </c>
      <c r="O143" t="e">
        <f>IF($B$5="","",INDEX(ReportAndOutcomeHistory!288:288,MATCH($B$5,ReportAndOutcomeHistory!$1:$1,0)))</f>
        <v>#N/A</v>
      </c>
      <c r="P143" t="e">
        <f>IF($B$5="","",INDEX(ReportAndOutcomeHistory!298:298,MATCH($B$5,ReportAndOutcomeHistory!$1:$1,0)))</f>
        <v>#N/A</v>
      </c>
      <c r="Q143" t="e">
        <f aca="true" t="shared" si="28" ref="Q143:Q154">IF(OR($B$6=0,P143=0),NA(),P143)</f>
        <v>#N/A</v>
      </c>
      <c r="R143" s="10" t="str">
        <f aca="true" t="shared" si="29" ref="R143:R154">_xlfn.IFERROR(P143/$P$154,"n/a")</f>
        <v>n/a</v>
      </c>
      <c r="S143" s="10" t="e">
        <f aca="true" t="shared" si="30" ref="S143:S154">IF(OR($B$6=0,R143=0),NA(),R143)</f>
        <v>#N/A</v>
      </c>
      <c r="T143" s="10"/>
    </row>
    <row r="144" spans="1:20" ht="15">
      <c r="A144">
        <f>1+A143</f>
        <v>2</v>
      </c>
      <c r="B144" t="str">
        <f>IF($I$5="","",INDEX(ReportAndOutcomeHistory!124:124,MATCH($I$5,ReportAndOutcomeHistory!$1:$1,0)))</f>
        <v/>
      </c>
      <c r="C144" t="str">
        <f>IF($I$5="","",INDEX(ReportAndOutcomeHistory!134:134,MATCH($I$5,ReportAndOutcomeHistory!$1:$1,0)))</f>
        <v/>
      </c>
      <c r="D144" t="e">
        <f t="shared" si="25"/>
        <v>#N/A</v>
      </c>
      <c r="E144" s="10" t="str">
        <f t="shared" si="26"/>
        <v>n/a</v>
      </c>
      <c r="F144" s="10" t="e">
        <f t="shared" si="27"/>
        <v>#N/A</v>
      </c>
      <c r="G144" s="10"/>
      <c r="N144">
        <f aca="true" t="shared" si="31" ref="N144:N152">1+N143</f>
        <v>2</v>
      </c>
      <c r="O144" t="e">
        <f>IF($B$5="","",INDEX(ReportAndOutcomeHistory!289:289,MATCH($B$5,ReportAndOutcomeHistory!$1:$1,0)))</f>
        <v>#N/A</v>
      </c>
      <c r="P144" t="e">
        <f>IF($B$5="","",INDEX(ReportAndOutcomeHistory!299:299,MATCH($B$5,ReportAndOutcomeHistory!$1:$1,0)))</f>
        <v>#N/A</v>
      </c>
      <c r="Q144" t="e">
        <f t="shared" si="28"/>
        <v>#N/A</v>
      </c>
      <c r="R144" s="10" t="str">
        <f t="shared" si="29"/>
        <v>n/a</v>
      </c>
      <c r="S144" s="10" t="e">
        <f t="shared" si="30"/>
        <v>#N/A</v>
      </c>
      <c r="T144" s="10"/>
    </row>
    <row r="145" spans="1:20" ht="15">
      <c r="A145">
        <f aca="true" t="shared" si="32" ref="A145:A151">1+A144</f>
        <v>3</v>
      </c>
      <c r="B145" t="str">
        <f>IF($I$5="","",INDEX(ReportAndOutcomeHistory!125:125,MATCH($I$5,ReportAndOutcomeHistory!$1:$1,0)))</f>
        <v/>
      </c>
      <c r="C145" t="str">
        <f>IF($I$5="","",INDEX(ReportAndOutcomeHistory!135:135,MATCH($I$5,ReportAndOutcomeHistory!$1:$1,0)))</f>
        <v/>
      </c>
      <c r="D145" t="e">
        <f t="shared" si="25"/>
        <v>#N/A</v>
      </c>
      <c r="E145" s="10" t="str">
        <f t="shared" si="26"/>
        <v>n/a</v>
      </c>
      <c r="F145" s="10" t="e">
        <f t="shared" si="27"/>
        <v>#N/A</v>
      </c>
      <c r="G145" s="10"/>
      <c r="N145">
        <f t="shared" si="31"/>
        <v>3</v>
      </c>
      <c r="O145" t="e">
        <f>IF($B$5="","",INDEX(ReportAndOutcomeHistory!290:290,MATCH($B$5,ReportAndOutcomeHistory!$1:$1,0)))</f>
        <v>#N/A</v>
      </c>
      <c r="P145" t="e">
        <f>IF($B$5="","",INDEX(ReportAndOutcomeHistory!300:300,MATCH($B$5,ReportAndOutcomeHistory!$1:$1,0)))</f>
        <v>#N/A</v>
      </c>
      <c r="Q145" t="e">
        <f t="shared" si="28"/>
        <v>#N/A</v>
      </c>
      <c r="R145" s="10" t="str">
        <f t="shared" si="29"/>
        <v>n/a</v>
      </c>
      <c r="S145" s="10" t="e">
        <f t="shared" si="30"/>
        <v>#N/A</v>
      </c>
      <c r="T145" s="10"/>
    </row>
    <row r="146" spans="1:20" ht="15">
      <c r="A146">
        <f t="shared" si="32"/>
        <v>4</v>
      </c>
      <c r="B146" t="str">
        <f>IF($I$5="","",INDEX(ReportAndOutcomeHistory!126:126,MATCH($I$5,ReportAndOutcomeHistory!$1:$1,0)))</f>
        <v/>
      </c>
      <c r="C146" t="str">
        <f>IF($I$5="","",INDEX(ReportAndOutcomeHistory!136:136,MATCH($I$5,ReportAndOutcomeHistory!$1:$1,0)))</f>
        <v/>
      </c>
      <c r="D146" t="e">
        <f t="shared" si="25"/>
        <v>#N/A</v>
      </c>
      <c r="E146" s="10" t="str">
        <f t="shared" si="26"/>
        <v>n/a</v>
      </c>
      <c r="F146" s="10" t="e">
        <f t="shared" si="27"/>
        <v>#N/A</v>
      </c>
      <c r="G146" s="10"/>
      <c r="N146">
        <f t="shared" si="31"/>
        <v>4</v>
      </c>
      <c r="O146" t="e">
        <f>IF($B$5="","",INDEX(ReportAndOutcomeHistory!291:291,MATCH($B$5,ReportAndOutcomeHistory!$1:$1,0)))</f>
        <v>#N/A</v>
      </c>
      <c r="P146" t="e">
        <f>IF($B$5="","",INDEX(ReportAndOutcomeHistory!301:301,MATCH($B$5,ReportAndOutcomeHistory!$1:$1,0)))</f>
        <v>#N/A</v>
      </c>
      <c r="Q146" t="e">
        <f t="shared" si="28"/>
        <v>#N/A</v>
      </c>
      <c r="R146" s="10" t="str">
        <f t="shared" si="29"/>
        <v>n/a</v>
      </c>
      <c r="S146" s="10" t="e">
        <f t="shared" si="30"/>
        <v>#N/A</v>
      </c>
      <c r="T146" s="10"/>
    </row>
    <row r="147" spans="1:20" ht="15">
      <c r="A147">
        <f t="shared" si="32"/>
        <v>5</v>
      </c>
      <c r="B147" t="str">
        <f>IF($I$5="","",INDEX(ReportAndOutcomeHistory!127:127,MATCH($I$5,ReportAndOutcomeHistory!$1:$1,0)))</f>
        <v/>
      </c>
      <c r="C147" t="str">
        <f>IF($I$5="","",INDEX(ReportAndOutcomeHistory!137:137,MATCH($I$5,ReportAndOutcomeHistory!$1:$1,0)))</f>
        <v/>
      </c>
      <c r="D147" t="e">
        <f t="shared" si="25"/>
        <v>#N/A</v>
      </c>
      <c r="E147" s="10" t="str">
        <f t="shared" si="26"/>
        <v>n/a</v>
      </c>
      <c r="F147" s="10" t="e">
        <f t="shared" si="27"/>
        <v>#N/A</v>
      </c>
      <c r="G147" s="10"/>
      <c r="N147">
        <f t="shared" si="31"/>
        <v>5</v>
      </c>
      <c r="O147" t="e">
        <f>IF($B$5="","",INDEX(ReportAndOutcomeHistory!292:292,MATCH($B$5,ReportAndOutcomeHistory!$1:$1,0)))</f>
        <v>#N/A</v>
      </c>
      <c r="P147" t="e">
        <f>IF($B$5="","",INDEX(ReportAndOutcomeHistory!302:302,MATCH($B$5,ReportAndOutcomeHistory!$1:$1,0)))</f>
        <v>#N/A</v>
      </c>
      <c r="Q147" t="e">
        <f t="shared" si="28"/>
        <v>#N/A</v>
      </c>
      <c r="R147" s="10" t="str">
        <f t="shared" si="29"/>
        <v>n/a</v>
      </c>
      <c r="S147" s="10" t="e">
        <f t="shared" si="30"/>
        <v>#N/A</v>
      </c>
      <c r="T147" s="10"/>
    </row>
    <row r="148" spans="1:20" ht="15">
      <c r="A148">
        <f t="shared" si="32"/>
        <v>6</v>
      </c>
      <c r="B148" t="str">
        <f>IF($I$5="","",INDEX(ReportAndOutcomeHistory!128:128,MATCH($I$5,ReportAndOutcomeHistory!$1:$1,0)))</f>
        <v/>
      </c>
      <c r="C148" t="str">
        <f>IF($I$5="","",INDEX(ReportAndOutcomeHistory!138:138,MATCH($I$5,ReportAndOutcomeHistory!$1:$1,0)))</f>
        <v/>
      </c>
      <c r="D148" t="e">
        <f t="shared" si="25"/>
        <v>#N/A</v>
      </c>
      <c r="E148" s="10" t="str">
        <f t="shared" si="26"/>
        <v>n/a</v>
      </c>
      <c r="F148" s="10" t="e">
        <f t="shared" si="27"/>
        <v>#N/A</v>
      </c>
      <c r="G148" s="10"/>
      <c r="N148">
        <f t="shared" si="31"/>
        <v>6</v>
      </c>
      <c r="O148" t="e">
        <f>IF($B$5="","",INDEX(ReportAndOutcomeHistory!293:293,MATCH($B$5,ReportAndOutcomeHistory!$1:$1,0)))</f>
        <v>#N/A</v>
      </c>
      <c r="P148" t="e">
        <f>IF($B$5="","",INDEX(ReportAndOutcomeHistory!303:303,MATCH($B$5,ReportAndOutcomeHistory!$1:$1,0)))</f>
        <v>#N/A</v>
      </c>
      <c r="Q148" t="e">
        <f t="shared" si="28"/>
        <v>#N/A</v>
      </c>
      <c r="R148" s="10" t="str">
        <f t="shared" si="29"/>
        <v>n/a</v>
      </c>
      <c r="S148" s="10" t="e">
        <f t="shared" si="30"/>
        <v>#N/A</v>
      </c>
      <c r="T148" s="10"/>
    </row>
    <row r="149" spans="1:20" ht="15">
      <c r="A149">
        <f>1+A148</f>
        <v>7</v>
      </c>
      <c r="B149" t="str">
        <f>IF($I$5="","",INDEX(ReportAndOutcomeHistory!129:129,MATCH($I$5,ReportAndOutcomeHistory!$1:$1,0)))</f>
        <v/>
      </c>
      <c r="C149" t="str">
        <f>IF($I$5="","",INDEX(ReportAndOutcomeHistory!139:139,MATCH($I$5,ReportAndOutcomeHistory!$1:$1,0)))</f>
        <v/>
      </c>
      <c r="D149" t="e">
        <f t="shared" si="25"/>
        <v>#N/A</v>
      </c>
      <c r="E149" s="10" t="str">
        <f t="shared" si="26"/>
        <v>n/a</v>
      </c>
      <c r="F149" s="10" t="e">
        <f t="shared" si="27"/>
        <v>#N/A</v>
      </c>
      <c r="G149" s="10"/>
      <c r="N149">
        <f t="shared" si="31"/>
        <v>7</v>
      </c>
      <c r="O149" t="e">
        <f>IF($B$5="","",INDEX(ReportAndOutcomeHistory!294:294,MATCH($B$5,ReportAndOutcomeHistory!$1:$1,0)))</f>
        <v>#N/A</v>
      </c>
      <c r="P149" t="e">
        <f>IF($B$5="","",INDEX(ReportAndOutcomeHistory!304:304,MATCH($B$5,ReportAndOutcomeHistory!$1:$1,0)))</f>
        <v>#N/A</v>
      </c>
      <c r="Q149" t="e">
        <f t="shared" si="28"/>
        <v>#N/A</v>
      </c>
      <c r="R149" s="10" t="str">
        <f t="shared" si="29"/>
        <v>n/a</v>
      </c>
      <c r="S149" s="10" t="e">
        <f t="shared" si="30"/>
        <v>#N/A</v>
      </c>
      <c r="T149" s="10"/>
    </row>
    <row r="150" spans="1:20" ht="15">
      <c r="A150">
        <f t="shared" si="32"/>
        <v>8</v>
      </c>
      <c r="B150" t="str">
        <f>IF($I$5="","",INDEX(ReportAndOutcomeHistory!130:130,MATCH($I$5,ReportAndOutcomeHistory!$1:$1,0)))</f>
        <v/>
      </c>
      <c r="C150" t="str">
        <f>IF($I$5="","",INDEX(ReportAndOutcomeHistory!140:140,MATCH($I$5,ReportAndOutcomeHistory!$1:$1,0)))</f>
        <v/>
      </c>
      <c r="D150" t="e">
        <f t="shared" si="25"/>
        <v>#N/A</v>
      </c>
      <c r="E150" s="10" t="str">
        <f t="shared" si="26"/>
        <v>n/a</v>
      </c>
      <c r="F150" s="10" t="e">
        <f t="shared" si="27"/>
        <v>#N/A</v>
      </c>
      <c r="G150" s="10"/>
      <c r="N150">
        <f t="shared" si="31"/>
        <v>8</v>
      </c>
      <c r="O150" t="e">
        <f>IF($B$5="","",INDEX(ReportAndOutcomeHistory!295:295,MATCH($B$5,ReportAndOutcomeHistory!$1:$1,0)))</f>
        <v>#N/A</v>
      </c>
      <c r="P150" t="e">
        <f>IF($B$5="","",INDEX(ReportAndOutcomeHistory!305:305,MATCH($B$5,ReportAndOutcomeHistory!$1:$1,0)))</f>
        <v>#N/A</v>
      </c>
      <c r="Q150" t="e">
        <f t="shared" si="28"/>
        <v>#N/A</v>
      </c>
      <c r="R150" s="10" t="str">
        <f t="shared" si="29"/>
        <v>n/a</v>
      </c>
      <c r="S150" s="10" t="e">
        <f t="shared" si="30"/>
        <v>#N/A</v>
      </c>
      <c r="T150" s="10"/>
    </row>
    <row r="151" spans="1:20" ht="15">
      <c r="A151">
        <f t="shared" si="32"/>
        <v>9</v>
      </c>
      <c r="B151" t="str">
        <f>IF($I$5="","",INDEX(ReportAndOutcomeHistory!131:131,MATCH($I$5,ReportAndOutcomeHistory!$1:$1,0)))</f>
        <v/>
      </c>
      <c r="C151" t="str">
        <f>IF($I$5="","",INDEX(ReportAndOutcomeHistory!141:141,MATCH($I$5,ReportAndOutcomeHistory!$1:$1,0)))</f>
        <v/>
      </c>
      <c r="D151" t="e">
        <f t="shared" si="25"/>
        <v>#N/A</v>
      </c>
      <c r="E151" s="10" t="str">
        <f t="shared" si="26"/>
        <v>n/a</v>
      </c>
      <c r="F151" s="10" t="e">
        <f t="shared" si="27"/>
        <v>#N/A</v>
      </c>
      <c r="G151" s="10"/>
      <c r="N151">
        <f t="shared" si="31"/>
        <v>9</v>
      </c>
      <c r="O151" t="e">
        <f>IF($B$5="","",INDEX(ReportAndOutcomeHistory!296:296,MATCH($B$5,ReportAndOutcomeHistory!$1:$1,0)))</f>
        <v>#N/A</v>
      </c>
      <c r="P151" t="e">
        <f>IF($B$5="","",INDEX(ReportAndOutcomeHistory!306:306,MATCH($B$5,ReportAndOutcomeHistory!$1:$1,0)))</f>
        <v>#N/A</v>
      </c>
      <c r="Q151" t="e">
        <f t="shared" si="28"/>
        <v>#N/A</v>
      </c>
      <c r="R151" s="10" t="str">
        <f t="shared" si="29"/>
        <v>n/a</v>
      </c>
      <c r="S151" s="10" t="e">
        <f t="shared" si="30"/>
        <v>#N/A</v>
      </c>
      <c r="T151" s="10"/>
    </row>
    <row r="152" spans="1:20" ht="15">
      <c r="A152">
        <f>1+A151</f>
        <v>10</v>
      </c>
      <c r="B152" t="str">
        <f>IF($I$5="","",INDEX(ReportAndOutcomeHistory!132:132,MATCH($I$5,ReportAndOutcomeHistory!$1:$1,0)))</f>
        <v/>
      </c>
      <c r="C152" t="str">
        <f>IF($I$5="","",INDEX(ReportAndOutcomeHistory!142:142,MATCH($I$5,ReportAndOutcomeHistory!$1:$1,0)))</f>
        <v/>
      </c>
      <c r="D152" t="e">
        <f t="shared" si="25"/>
        <v>#N/A</v>
      </c>
      <c r="E152" s="10" t="str">
        <f t="shared" si="26"/>
        <v>n/a</v>
      </c>
      <c r="F152" s="10" t="e">
        <f t="shared" si="27"/>
        <v>#N/A</v>
      </c>
      <c r="G152" s="10"/>
      <c r="N152">
        <f t="shared" si="31"/>
        <v>10</v>
      </c>
      <c r="O152" t="e">
        <f>IF($B$5="","",INDEX(ReportAndOutcomeHistory!297:297,MATCH($B$5,ReportAndOutcomeHistory!$1:$1,0)))</f>
        <v>#N/A</v>
      </c>
      <c r="P152" t="e">
        <f>IF($B$5="","",INDEX(ReportAndOutcomeHistory!307:307,MATCH($B$5,ReportAndOutcomeHistory!$1:$1,0)))</f>
        <v>#N/A</v>
      </c>
      <c r="Q152" t="e">
        <f t="shared" si="28"/>
        <v>#N/A</v>
      </c>
      <c r="R152" s="10" t="str">
        <f t="shared" si="29"/>
        <v>n/a</v>
      </c>
      <c r="S152" s="10" t="e">
        <f t="shared" si="30"/>
        <v>#N/A</v>
      </c>
      <c r="T152" s="10"/>
    </row>
    <row r="153" spans="1:20" ht="15">
      <c r="A153" t="s">
        <v>823</v>
      </c>
      <c r="B153" t="s">
        <v>831</v>
      </c>
      <c r="C153" t="str">
        <f>IF($I$5="","",INDEX(ReportAndOutcomeHistory!143:143,MATCH($I$5,ReportAndOutcomeHistory!$1:$1,0)))</f>
        <v/>
      </c>
      <c r="D153" t="e">
        <f t="shared" si="25"/>
        <v>#N/A</v>
      </c>
      <c r="E153" s="10" t="str">
        <f t="shared" si="26"/>
        <v>n/a</v>
      </c>
      <c r="F153" s="10" t="e">
        <f t="shared" si="27"/>
        <v>#N/A</v>
      </c>
      <c r="G153" s="10"/>
      <c r="N153" t="s">
        <v>823</v>
      </c>
      <c r="O153" t="s">
        <v>831</v>
      </c>
      <c r="P153" t="e">
        <f>IF($B$5="","",INDEX(ReportAndOutcomeHistory!308:308,MATCH($B$5,ReportAndOutcomeHistory!$1:$1,0)))</f>
        <v>#N/A</v>
      </c>
      <c r="Q153" t="e">
        <f t="shared" si="28"/>
        <v>#N/A</v>
      </c>
      <c r="R153" s="10" t="str">
        <f t="shared" si="29"/>
        <v>n/a</v>
      </c>
      <c r="S153" s="10" t="e">
        <f t="shared" si="30"/>
        <v>#N/A</v>
      </c>
      <c r="T153" s="10"/>
    </row>
    <row r="154" spans="2:20" ht="15">
      <c r="B154" t="s">
        <v>838</v>
      </c>
      <c r="C154">
        <f>SUM(C143:C153)</f>
        <v>0</v>
      </c>
      <c r="D154" t="e">
        <f t="shared" si="25"/>
        <v>#N/A</v>
      </c>
      <c r="E154" s="10" t="str">
        <f t="shared" si="26"/>
        <v>n/a</v>
      </c>
      <c r="F154" s="10" t="e">
        <f t="shared" si="27"/>
        <v>#N/A</v>
      </c>
      <c r="G154" s="10"/>
      <c r="O154" t="s">
        <v>838</v>
      </c>
      <c r="P154" t="e">
        <f>SUM(P143:P153)</f>
        <v>#N/A</v>
      </c>
      <c r="Q154" t="e">
        <f t="shared" si="28"/>
        <v>#N/A</v>
      </c>
      <c r="R154" s="10" t="str">
        <f t="shared" si="29"/>
        <v>n/a</v>
      </c>
      <c r="S154" s="10" t="e">
        <f t="shared" si="30"/>
        <v>#N/A</v>
      </c>
      <c r="T154" s="10"/>
    </row>
    <row r="155" ht="15"/>
    <row r="156" ht="15"/>
    <row r="157" ht="75" customHeight="1"/>
    <row r="158" ht="15"/>
    <row r="159" ht="15"/>
    <row r="160" spans="9:24" s="4" customFormat="1" ht="60">
      <c r="I160" s="53" t="s">
        <v>829</v>
      </c>
      <c r="J160" s="35" t="s">
        <v>934</v>
      </c>
      <c r="K160" s="35" t="s">
        <v>844</v>
      </c>
      <c r="V160" s="53" t="s">
        <v>829</v>
      </c>
      <c r="W160" s="35" t="s">
        <v>934</v>
      </c>
      <c r="X160" s="35" t="s">
        <v>844</v>
      </c>
    </row>
    <row r="161" spans="9:24" ht="15">
      <c r="I161" s="21" t="str">
        <f aca="true" t="shared" si="33" ref="I161:I171">B143</f>
        <v/>
      </c>
      <c r="J161" s="22" t="str">
        <f aca="true" t="shared" si="34" ref="J161:J171">C143</f>
        <v/>
      </c>
      <c r="K161" s="29" t="str">
        <f aca="true" t="shared" si="35" ref="K161:K172">IF($I$5="","",IF($I$6=0,"",E143))</f>
        <v/>
      </c>
      <c r="V161" s="21" t="e">
        <f aca="true" t="shared" si="36" ref="V161:V171">O143</f>
        <v>#N/A</v>
      </c>
      <c r="W161" s="22" t="e">
        <f aca="true" t="shared" si="37" ref="W161:W171">P143</f>
        <v>#N/A</v>
      </c>
      <c r="X161" s="29" t="e">
        <f aca="true" t="shared" si="38" ref="X161:X172">IF($B$5="","",IF($B$6=0,"",R143))</f>
        <v>#N/A</v>
      </c>
    </row>
    <row r="162" spans="9:24" ht="15">
      <c r="I162" s="21" t="str">
        <f t="shared" si="33"/>
        <v/>
      </c>
      <c r="J162" s="22" t="str">
        <f t="shared" si="34"/>
        <v/>
      </c>
      <c r="K162" s="29" t="str">
        <f t="shared" si="35"/>
        <v/>
      </c>
      <c r="V162" s="21" t="e">
        <f t="shared" si="36"/>
        <v>#N/A</v>
      </c>
      <c r="W162" s="22" t="e">
        <f t="shared" si="37"/>
        <v>#N/A</v>
      </c>
      <c r="X162" s="29" t="e">
        <f t="shared" si="38"/>
        <v>#N/A</v>
      </c>
    </row>
    <row r="163" spans="9:24" ht="15">
      <c r="I163" s="21" t="str">
        <f t="shared" si="33"/>
        <v/>
      </c>
      <c r="J163" s="22" t="str">
        <f t="shared" si="34"/>
        <v/>
      </c>
      <c r="K163" s="29" t="str">
        <f t="shared" si="35"/>
        <v/>
      </c>
      <c r="V163" s="21" t="e">
        <f t="shared" si="36"/>
        <v>#N/A</v>
      </c>
      <c r="W163" s="22" t="e">
        <f t="shared" si="37"/>
        <v>#N/A</v>
      </c>
      <c r="X163" s="29" t="e">
        <f t="shared" si="38"/>
        <v>#N/A</v>
      </c>
    </row>
    <row r="164" spans="9:24" ht="15">
      <c r="I164" s="21" t="str">
        <f t="shared" si="33"/>
        <v/>
      </c>
      <c r="J164" s="22" t="str">
        <f t="shared" si="34"/>
        <v/>
      </c>
      <c r="K164" s="29" t="str">
        <f t="shared" si="35"/>
        <v/>
      </c>
      <c r="V164" s="21" t="e">
        <f t="shared" si="36"/>
        <v>#N/A</v>
      </c>
      <c r="W164" s="22" t="e">
        <f t="shared" si="37"/>
        <v>#N/A</v>
      </c>
      <c r="X164" s="29" t="e">
        <f t="shared" si="38"/>
        <v>#N/A</v>
      </c>
    </row>
    <row r="165" spans="9:24" ht="15">
      <c r="I165" s="21" t="str">
        <f t="shared" si="33"/>
        <v/>
      </c>
      <c r="J165" s="22" t="str">
        <f t="shared" si="34"/>
        <v/>
      </c>
      <c r="K165" s="29" t="str">
        <f t="shared" si="35"/>
        <v/>
      </c>
      <c r="V165" s="21" t="e">
        <f t="shared" si="36"/>
        <v>#N/A</v>
      </c>
      <c r="W165" s="22" t="e">
        <f t="shared" si="37"/>
        <v>#N/A</v>
      </c>
      <c r="X165" s="29" t="e">
        <f t="shared" si="38"/>
        <v>#N/A</v>
      </c>
    </row>
    <row r="166" spans="9:24" ht="15">
      <c r="I166" s="21" t="str">
        <f t="shared" si="33"/>
        <v/>
      </c>
      <c r="J166" s="22" t="str">
        <f t="shared" si="34"/>
        <v/>
      </c>
      <c r="K166" s="29" t="str">
        <f t="shared" si="35"/>
        <v/>
      </c>
      <c r="V166" s="21" t="e">
        <f t="shared" si="36"/>
        <v>#N/A</v>
      </c>
      <c r="W166" s="22" t="e">
        <f t="shared" si="37"/>
        <v>#N/A</v>
      </c>
      <c r="X166" s="29" t="e">
        <f t="shared" si="38"/>
        <v>#N/A</v>
      </c>
    </row>
    <row r="167" spans="9:24" ht="15">
      <c r="I167" s="21" t="str">
        <f t="shared" si="33"/>
        <v/>
      </c>
      <c r="J167" s="22" t="str">
        <f t="shared" si="34"/>
        <v/>
      </c>
      <c r="K167" s="29" t="str">
        <f t="shared" si="35"/>
        <v/>
      </c>
      <c r="V167" s="21" t="e">
        <f t="shared" si="36"/>
        <v>#N/A</v>
      </c>
      <c r="W167" s="22" t="e">
        <f t="shared" si="37"/>
        <v>#N/A</v>
      </c>
      <c r="X167" s="29" t="e">
        <f t="shared" si="38"/>
        <v>#N/A</v>
      </c>
    </row>
    <row r="168" spans="9:24" ht="15">
      <c r="I168" s="21" t="str">
        <f t="shared" si="33"/>
        <v/>
      </c>
      <c r="J168" s="22" t="str">
        <f t="shared" si="34"/>
        <v/>
      </c>
      <c r="K168" s="29" t="str">
        <f t="shared" si="35"/>
        <v/>
      </c>
      <c r="V168" s="21" t="e">
        <f t="shared" si="36"/>
        <v>#N/A</v>
      </c>
      <c r="W168" s="22" t="e">
        <f t="shared" si="37"/>
        <v>#N/A</v>
      </c>
      <c r="X168" s="29" t="e">
        <f t="shared" si="38"/>
        <v>#N/A</v>
      </c>
    </row>
    <row r="169" spans="9:24" ht="15">
      <c r="I169" s="21" t="str">
        <f t="shared" si="33"/>
        <v/>
      </c>
      <c r="J169" s="22" t="str">
        <f t="shared" si="34"/>
        <v/>
      </c>
      <c r="K169" s="29" t="str">
        <f t="shared" si="35"/>
        <v/>
      </c>
      <c r="V169" s="21" t="e">
        <f t="shared" si="36"/>
        <v>#N/A</v>
      </c>
      <c r="W169" s="22" t="e">
        <f t="shared" si="37"/>
        <v>#N/A</v>
      </c>
      <c r="X169" s="29" t="e">
        <f t="shared" si="38"/>
        <v>#N/A</v>
      </c>
    </row>
    <row r="170" spans="9:24" ht="15">
      <c r="I170" s="21" t="str">
        <f t="shared" si="33"/>
        <v/>
      </c>
      <c r="J170" s="22" t="str">
        <f t="shared" si="34"/>
        <v/>
      </c>
      <c r="K170" s="29" t="str">
        <f t="shared" si="35"/>
        <v/>
      </c>
      <c r="V170" s="21" t="e">
        <f t="shared" si="36"/>
        <v>#N/A</v>
      </c>
      <c r="W170" s="22" t="e">
        <f t="shared" si="37"/>
        <v>#N/A</v>
      </c>
      <c r="X170" s="29" t="e">
        <f t="shared" si="38"/>
        <v>#N/A</v>
      </c>
    </row>
    <row r="171" spans="9:24" ht="15">
      <c r="I171" s="21" t="str">
        <f t="shared" si="33"/>
        <v>All Other Symptoms</v>
      </c>
      <c r="J171" s="22" t="str">
        <f t="shared" si="34"/>
        <v/>
      </c>
      <c r="K171" s="29" t="str">
        <f t="shared" si="35"/>
        <v/>
      </c>
      <c r="V171" s="21" t="str">
        <f t="shared" si="36"/>
        <v>All Other Symptoms</v>
      </c>
      <c r="W171" s="22" t="e">
        <f t="shared" si="37"/>
        <v>#N/A</v>
      </c>
      <c r="X171" s="29" t="e">
        <f t="shared" si="38"/>
        <v>#N/A</v>
      </c>
    </row>
    <row r="172" spans="9:24" ht="15">
      <c r="I172" s="30" t="s">
        <v>935</v>
      </c>
      <c r="J172" s="31">
        <f>C154</f>
        <v>0</v>
      </c>
      <c r="K172" s="29" t="str">
        <f t="shared" si="35"/>
        <v/>
      </c>
      <c r="V172" s="30" t="s">
        <v>935</v>
      </c>
      <c r="W172" s="31" t="e">
        <f>P154</f>
        <v>#N/A</v>
      </c>
      <c r="X172" s="29" t="e">
        <f t="shared" si="38"/>
        <v>#N/A</v>
      </c>
    </row>
    <row r="173" ht="15"/>
    <row r="174" spans="9:24" ht="15">
      <c r="I174" s="72" t="s">
        <v>936</v>
      </c>
      <c r="J174" s="72"/>
      <c r="K174" s="72"/>
      <c r="V174" s="72" t="s">
        <v>936</v>
      </c>
      <c r="W174" s="72"/>
      <c r="X174" s="72"/>
    </row>
    <row r="175" ht="15"/>
    <row r="176" spans="2:17" ht="15">
      <c r="B176" t="s">
        <v>850</v>
      </c>
      <c r="C176" t="s">
        <v>851</v>
      </c>
      <c r="D176" t="s">
        <v>852</v>
      </c>
      <c r="O176" t="s">
        <v>850</v>
      </c>
      <c r="P176" t="s">
        <v>851</v>
      </c>
      <c r="Q176" t="s">
        <v>852</v>
      </c>
    </row>
    <row r="177" spans="1:17" ht="15">
      <c r="A177" t="s">
        <v>23</v>
      </c>
      <c r="B177" t="str">
        <f>IF($I$5="","",INDEX(ReportAndOutcomeHistory!145:145,MATCH($I$5,ReportAndOutcomeHistory!$1:$1,0)))</f>
        <v/>
      </c>
      <c r="C177" t="str">
        <f>IF($I$5="","",INDEX(ReportAndOutcomeHistory!148:148,MATCH($I$5,ReportAndOutcomeHistory!$1:$1,0)))</f>
        <v/>
      </c>
      <c r="D177" t="str">
        <f>IF($I$5="","",INDEX(ReportAndOutcomeHistory!151:151,MATCH($I$5,ReportAndOutcomeHistory!$1:$1,0)))</f>
        <v/>
      </c>
      <c r="N177" t="s">
        <v>23</v>
      </c>
      <c r="O177" t="e">
        <f>IF($B$5="","",INDEX(ReportAndOutcomeHistory!310:310,MATCH($B$5,ReportAndOutcomeHistory!$1:$1,0)))</f>
        <v>#N/A</v>
      </c>
      <c r="P177" t="e">
        <f>IF($B$5="","",INDEX(ReportAndOutcomeHistory!313:313,MATCH($B$5,ReportAndOutcomeHistory!$1:$1,0)))</f>
        <v>#N/A</v>
      </c>
      <c r="Q177" t="e">
        <f>IF($B$5="","",INDEX(ReportAndOutcomeHistory!316:316,MATCH($B$5,ReportAndOutcomeHistory!$1:$1,0)))</f>
        <v>#N/A</v>
      </c>
    </row>
    <row r="178" spans="1:17" ht="15">
      <c r="A178" t="s">
        <v>24</v>
      </c>
      <c r="B178" t="str">
        <f>IF($I$5="","",INDEX(ReportAndOutcomeHistory!146:146,MATCH($I$5,ReportAndOutcomeHistory!$1:$1,0)))</f>
        <v/>
      </c>
      <c r="C178" t="str">
        <f>IF($I$5="","",INDEX(ReportAndOutcomeHistory!149:149,MATCH($I$5,ReportAndOutcomeHistory!$1:$1,0)))</f>
        <v/>
      </c>
      <c r="D178" t="str">
        <f>IF($I$5="","",INDEX(ReportAndOutcomeHistory!152:152,MATCH($I$5,ReportAndOutcomeHistory!$1:$1,0)))</f>
        <v/>
      </c>
      <c r="N178" t="s">
        <v>24</v>
      </c>
      <c r="O178" t="e">
        <f>IF($B$5="","",INDEX(ReportAndOutcomeHistory!311:311,MATCH($B$5,ReportAndOutcomeHistory!$1:$1,0)))</f>
        <v>#N/A</v>
      </c>
      <c r="P178" t="e">
        <f>IF($B$5="","",INDEX(ReportAndOutcomeHistory!314:314,MATCH($B$5,ReportAndOutcomeHistory!$1:$1,0)))</f>
        <v>#N/A</v>
      </c>
      <c r="Q178" t="e">
        <f>IF($B$5="","",INDEX(ReportAndOutcomeHistory!317:317,MATCH($B$5,ReportAndOutcomeHistory!$1:$1,0)))</f>
        <v>#N/A</v>
      </c>
    </row>
    <row r="179" spans="1:17" ht="15">
      <c r="A179" t="s">
        <v>849</v>
      </c>
      <c r="B179" t="str">
        <f>IF($I$5="","",INDEX(ReportAndOutcomeHistory!147:147,MATCH($I$5,ReportAndOutcomeHistory!$1:$1,0)))</f>
        <v/>
      </c>
      <c r="C179" t="str">
        <f>IF($I$5="","",INDEX(ReportAndOutcomeHistory!150:150,MATCH($I$5,ReportAndOutcomeHistory!$1:$1,0)))</f>
        <v/>
      </c>
      <c r="D179" t="str">
        <f>IF($I$5="","",INDEX(ReportAndOutcomeHistory!153:153,MATCH($I$5,ReportAndOutcomeHistory!$1:$1,0)))</f>
        <v/>
      </c>
      <c r="N179" t="s">
        <v>849</v>
      </c>
      <c r="O179" t="e">
        <f>IF($B$5="","",INDEX(ReportAndOutcomeHistory!312:312,MATCH($B$5,ReportAndOutcomeHistory!$1:$1,0)))</f>
        <v>#N/A</v>
      </c>
      <c r="P179" t="e">
        <f>IF($B$5="","",INDEX(ReportAndOutcomeHistory!315:315,MATCH($B$5,ReportAndOutcomeHistory!$1:$1,0)))</f>
        <v>#N/A</v>
      </c>
      <c r="Q179" t="e">
        <f>IF($B$5="","",INDEX(ReportAndOutcomeHistory!318:318,MATCH($B$5,ReportAndOutcomeHistory!$1:$1,0)))</f>
        <v>#N/A</v>
      </c>
    </row>
    <row r="180" spans="1:17" ht="15">
      <c r="A180" t="s">
        <v>838</v>
      </c>
      <c r="B180" t="str">
        <f>IF($I$5="","",INDEX(ReportAndOutcomeHistory!$13:$13,MATCH($I$5,ReportAndOutcomeHistory!$1:$1,0)))</f>
        <v/>
      </c>
      <c r="C180" t="str">
        <f>IF($I$5="","",INDEX(ReportAndOutcomeHistory!$13:$13,MATCH($I$5,ReportAndOutcomeHistory!$1:$1,0)))</f>
        <v/>
      </c>
      <c r="D180" t="str">
        <f>IF($I$5="","",INDEX(ReportAndOutcomeHistory!$13:$13,MATCH($I$5,ReportAndOutcomeHistory!$1:$1,0)))</f>
        <v/>
      </c>
      <c r="N180" t="s">
        <v>838</v>
      </c>
      <c r="O180" t="e">
        <f>IF($B$5="","",INDEX(ReportAndOutcomeHistory!$36:$36,MATCH($B$5,ReportAndOutcomeHistory!$1:$1,0)))</f>
        <v>#N/A</v>
      </c>
      <c r="P180" t="e">
        <f>IF($B$5="","",INDEX(ReportAndOutcomeHistory!$36:$36,MATCH($B$5,ReportAndOutcomeHistory!$1:$1,0)))</f>
        <v>#N/A</v>
      </c>
      <c r="Q180" t="e">
        <f>IF($B$5="","",INDEX(ReportAndOutcomeHistory!$36:$36,MATCH($B$5,ReportAndOutcomeHistory!$1:$1,0)))</f>
        <v>#N/A</v>
      </c>
    </row>
    <row r="181" ht="15"/>
    <row r="182" spans="2:17" ht="15">
      <c r="B182" t="str">
        <f>B176</f>
        <v>Informed of the risks and benefits of proposed care</v>
      </c>
      <c r="C182" t="str">
        <f>C176</f>
        <v>Informed of treatment and treatment alternatives or treatment options</v>
      </c>
      <c r="D182" t="str">
        <f>D176</f>
        <v>Chosen the alternative or option he or she prefers</v>
      </c>
      <c r="O182" t="str">
        <f>O176</f>
        <v>Informed of the risks and benefits of proposed care</v>
      </c>
      <c r="P182" t="str">
        <f>P176</f>
        <v>Informed of treatment and treatment alternatives or treatment options</v>
      </c>
      <c r="Q182" t="str">
        <f>Q176</f>
        <v>Chosen the alternative or option he or she prefers</v>
      </c>
    </row>
    <row r="183" spans="1:17" ht="15">
      <c r="A183" t="s">
        <v>23</v>
      </c>
      <c r="B183" s="10" t="e">
        <f aca="true" t="shared" si="39" ref="B183:D186">IF(OR($I$6=0,B$180=0),"n/a",B177/B$180)</f>
        <v>#N/A</v>
      </c>
      <c r="C183" s="10" t="e">
        <f t="shared" si="39"/>
        <v>#N/A</v>
      </c>
      <c r="D183" s="10" t="e">
        <f t="shared" si="39"/>
        <v>#N/A</v>
      </c>
      <c r="N183" t="s">
        <v>23</v>
      </c>
      <c r="O183" s="10" t="e">
        <f aca="true" t="shared" si="40" ref="O183:Q186">IF(OR($B$6=0,O$180=0),"n/a",O177/O$180)</f>
        <v>#N/A</v>
      </c>
      <c r="P183" s="10" t="e">
        <f t="shared" si="40"/>
        <v>#N/A</v>
      </c>
      <c r="Q183" s="10" t="e">
        <f t="shared" si="40"/>
        <v>#N/A</v>
      </c>
    </row>
    <row r="184" spans="1:17" ht="15">
      <c r="A184" t="s">
        <v>24</v>
      </c>
      <c r="B184" s="10" t="e">
        <f t="shared" si="39"/>
        <v>#N/A</v>
      </c>
      <c r="C184" s="10" t="e">
        <f t="shared" si="39"/>
        <v>#N/A</v>
      </c>
      <c r="D184" s="10" t="e">
        <f t="shared" si="39"/>
        <v>#N/A</v>
      </c>
      <c r="N184" t="s">
        <v>24</v>
      </c>
      <c r="O184" s="10" t="e">
        <f t="shared" si="40"/>
        <v>#N/A</v>
      </c>
      <c r="P184" s="10" t="e">
        <f t="shared" si="40"/>
        <v>#N/A</v>
      </c>
      <c r="Q184" s="10" t="e">
        <f t="shared" si="40"/>
        <v>#N/A</v>
      </c>
    </row>
    <row r="185" spans="1:17" ht="15">
      <c r="A185" t="s">
        <v>849</v>
      </c>
      <c r="B185" s="10" t="e">
        <f t="shared" si="39"/>
        <v>#N/A</v>
      </c>
      <c r="C185" s="10" t="e">
        <f t="shared" si="39"/>
        <v>#N/A</v>
      </c>
      <c r="D185" s="10" t="e">
        <f t="shared" si="39"/>
        <v>#N/A</v>
      </c>
      <c r="N185" t="s">
        <v>849</v>
      </c>
      <c r="O185" s="10" t="e">
        <f t="shared" si="40"/>
        <v>#N/A</v>
      </c>
      <c r="P185" s="10" t="e">
        <f t="shared" si="40"/>
        <v>#N/A</v>
      </c>
      <c r="Q185" s="10" t="e">
        <f t="shared" si="40"/>
        <v>#N/A</v>
      </c>
    </row>
    <row r="186" spans="1:17" ht="15">
      <c r="A186" t="s">
        <v>838</v>
      </c>
      <c r="B186" s="10" t="e">
        <f t="shared" si="39"/>
        <v>#N/A</v>
      </c>
      <c r="C186" s="10" t="e">
        <f t="shared" si="39"/>
        <v>#N/A</v>
      </c>
      <c r="D186" s="10" t="e">
        <f t="shared" si="39"/>
        <v>#N/A</v>
      </c>
      <c r="N186" t="s">
        <v>838</v>
      </c>
      <c r="O186" s="10" t="e">
        <f t="shared" si="40"/>
        <v>#N/A</v>
      </c>
      <c r="P186" s="10" t="e">
        <f t="shared" si="40"/>
        <v>#N/A</v>
      </c>
      <c r="Q186" s="10" t="e">
        <f t="shared" si="40"/>
        <v>#N/A</v>
      </c>
    </row>
    <row r="187" ht="15"/>
    <row r="188" spans="2:17" ht="15">
      <c r="B188" t="str">
        <f>B182</f>
        <v>Informed of the risks and benefits of proposed care</v>
      </c>
      <c r="C188" t="str">
        <f>C182</f>
        <v>Informed of treatment and treatment alternatives or treatment options</v>
      </c>
      <c r="D188" t="str">
        <f>D182</f>
        <v>Chosen the alternative or option he or she prefers</v>
      </c>
      <c r="O188" t="str">
        <f>O182</f>
        <v>Informed of the risks and benefits of proposed care</v>
      </c>
      <c r="P188" t="str">
        <f>P182</f>
        <v>Informed of treatment and treatment alternatives or treatment options</v>
      </c>
      <c r="Q188" t="str">
        <f>Q182</f>
        <v>Chosen the alternative or option he or she prefers</v>
      </c>
    </row>
    <row r="189" spans="1:17" ht="15">
      <c r="A189" t="s">
        <v>23</v>
      </c>
      <c r="B189" s="10" t="e">
        <f aca="true" t="shared" si="41" ref="B189:D192">IF(OR(B183=0,B183="n/a"),NA(),B183)</f>
        <v>#N/A</v>
      </c>
      <c r="C189" s="10" t="e">
        <f t="shared" si="41"/>
        <v>#N/A</v>
      </c>
      <c r="D189" s="10" t="e">
        <f t="shared" si="41"/>
        <v>#N/A</v>
      </c>
      <c r="N189" t="s">
        <v>23</v>
      </c>
      <c r="O189" s="10" t="e">
        <f aca="true" t="shared" si="42" ref="O189:Q192">IF(OR(O183=0,O183="n/a"),NA(),O183)</f>
        <v>#N/A</v>
      </c>
      <c r="P189" s="10" t="e">
        <f t="shared" si="42"/>
        <v>#N/A</v>
      </c>
      <c r="Q189" s="10" t="e">
        <f t="shared" si="42"/>
        <v>#N/A</v>
      </c>
    </row>
    <row r="190" spans="1:17" ht="15">
      <c r="A190" t="s">
        <v>24</v>
      </c>
      <c r="B190" s="10" t="e">
        <f t="shared" si="41"/>
        <v>#N/A</v>
      </c>
      <c r="C190" s="10" t="e">
        <f t="shared" si="41"/>
        <v>#N/A</v>
      </c>
      <c r="D190" s="10" t="e">
        <f t="shared" si="41"/>
        <v>#N/A</v>
      </c>
      <c r="N190" t="s">
        <v>24</v>
      </c>
      <c r="O190" s="10" t="e">
        <f t="shared" si="42"/>
        <v>#N/A</v>
      </c>
      <c r="P190" s="10" t="e">
        <f t="shared" si="42"/>
        <v>#N/A</v>
      </c>
      <c r="Q190" s="10" t="e">
        <f t="shared" si="42"/>
        <v>#N/A</v>
      </c>
    </row>
    <row r="191" spans="1:17" ht="15">
      <c r="A191" t="s">
        <v>849</v>
      </c>
      <c r="B191" s="10" t="e">
        <f t="shared" si="41"/>
        <v>#N/A</v>
      </c>
      <c r="C191" s="10" t="e">
        <f t="shared" si="41"/>
        <v>#N/A</v>
      </c>
      <c r="D191" s="10" t="e">
        <f t="shared" si="41"/>
        <v>#N/A</v>
      </c>
      <c r="N191" t="s">
        <v>849</v>
      </c>
      <c r="O191" s="10" t="e">
        <f t="shared" si="42"/>
        <v>#N/A</v>
      </c>
      <c r="P191" s="10" t="e">
        <f t="shared" si="42"/>
        <v>#N/A</v>
      </c>
      <c r="Q191" s="10" t="e">
        <f t="shared" si="42"/>
        <v>#N/A</v>
      </c>
    </row>
    <row r="192" spans="1:25" ht="75">
      <c r="A192" t="s">
        <v>838</v>
      </c>
      <c r="B192" s="10" t="e">
        <f t="shared" si="41"/>
        <v>#N/A</v>
      </c>
      <c r="C192" s="10" t="e">
        <f t="shared" si="41"/>
        <v>#N/A</v>
      </c>
      <c r="D192" s="10" t="e">
        <f t="shared" si="41"/>
        <v>#N/A</v>
      </c>
      <c r="I192" s="34" t="s">
        <v>992</v>
      </c>
      <c r="J192" s="35" t="str">
        <f>B182</f>
        <v>Informed of the risks and benefits of proposed care</v>
      </c>
      <c r="K192" s="35" t="str">
        <f>C182</f>
        <v>Informed of treatment and treatment alternatives or treatment options</v>
      </c>
      <c r="L192" s="35" t="str">
        <f>D182</f>
        <v>Chosen the alternative or option he or she prefers</v>
      </c>
      <c r="N192" t="s">
        <v>838</v>
      </c>
      <c r="O192" s="10" t="e">
        <f t="shared" si="42"/>
        <v>#N/A</v>
      </c>
      <c r="P192" s="10" t="e">
        <f t="shared" si="42"/>
        <v>#N/A</v>
      </c>
      <c r="Q192" s="10" t="e">
        <f t="shared" si="42"/>
        <v>#N/A</v>
      </c>
      <c r="V192" s="34" t="s">
        <v>992</v>
      </c>
      <c r="W192" s="35" t="str">
        <f>O182</f>
        <v>Informed of the risks and benefits of proposed care</v>
      </c>
      <c r="X192" s="35" t="str">
        <f>P182</f>
        <v>Informed of treatment and treatment alternatives or treatment options</v>
      </c>
      <c r="Y192" s="35" t="str">
        <f>Q182</f>
        <v>Chosen the alternative or option he or she prefers</v>
      </c>
    </row>
    <row r="193" spans="9:25" ht="15">
      <c r="I193" s="21" t="str">
        <f>A183</f>
        <v>Yes</v>
      </c>
      <c r="J193" s="22" t="str">
        <f aca="true" t="shared" si="43" ref="J193:L196">IF($I$5="","",IF($I$6=0,"",B177&amp;" ("&amp;TEXT(B183,"0%")&amp;")"))</f>
        <v/>
      </c>
      <c r="K193" s="22" t="str">
        <f t="shared" si="43"/>
        <v/>
      </c>
      <c r="L193" s="22" t="str">
        <f t="shared" si="43"/>
        <v/>
      </c>
      <c r="V193" s="21" t="str">
        <f>N183</f>
        <v>Yes</v>
      </c>
      <c r="W193" s="22" t="e">
        <f aca="true" t="shared" si="44" ref="W193:Y196">IF($B$5="","",IF($B$6=0,"",O177&amp;" ("&amp;TEXT(O183,"0%")&amp;")"))</f>
        <v>#N/A</v>
      </c>
      <c r="X193" s="22" t="e">
        <f t="shared" si="44"/>
        <v>#N/A</v>
      </c>
      <c r="Y193" s="22" t="e">
        <f t="shared" si="44"/>
        <v>#N/A</v>
      </c>
    </row>
    <row r="194" spans="9:25" ht="15">
      <c r="I194" s="21" t="str">
        <f>A184</f>
        <v>No</v>
      </c>
      <c r="J194" s="22" t="str">
        <f t="shared" si="43"/>
        <v/>
      </c>
      <c r="K194" s="22" t="str">
        <f t="shared" si="43"/>
        <v/>
      </c>
      <c r="L194" s="22" t="str">
        <f t="shared" si="43"/>
        <v/>
      </c>
      <c r="V194" s="21" t="str">
        <f>N184</f>
        <v>No</v>
      </c>
      <c r="W194" s="22" t="e">
        <f t="shared" si="44"/>
        <v>#N/A</v>
      </c>
      <c r="X194" s="22" t="e">
        <f t="shared" si="44"/>
        <v>#N/A</v>
      </c>
      <c r="Y194" s="22" t="e">
        <f t="shared" si="44"/>
        <v>#N/A</v>
      </c>
    </row>
    <row r="195" spans="9:25" ht="15">
      <c r="I195" s="21" t="str">
        <f>A185</f>
        <v>Not recorded</v>
      </c>
      <c r="J195" s="22" t="str">
        <f t="shared" si="43"/>
        <v/>
      </c>
      <c r="K195" s="22" t="str">
        <f t="shared" si="43"/>
        <v/>
      </c>
      <c r="L195" s="22" t="str">
        <f t="shared" si="43"/>
        <v/>
      </c>
      <c r="V195" s="21" t="str">
        <f>N185</f>
        <v>Not recorded</v>
      </c>
      <c r="W195" s="22" t="e">
        <f t="shared" si="44"/>
        <v>#N/A</v>
      </c>
      <c r="X195" s="22" t="e">
        <f t="shared" si="44"/>
        <v>#N/A</v>
      </c>
      <c r="Y195" s="22" t="e">
        <f t="shared" si="44"/>
        <v>#N/A</v>
      </c>
    </row>
    <row r="196" spans="9:25" ht="15">
      <c r="I196" s="21" t="str">
        <f>A186</f>
        <v>Total</v>
      </c>
      <c r="J196" s="22" t="str">
        <f t="shared" si="43"/>
        <v/>
      </c>
      <c r="K196" s="22" t="str">
        <f t="shared" si="43"/>
        <v/>
      </c>
      <c r="L196" s="22" t="str">
        <f t="shared" si="43"/>
        <v/>
      </c>
      <c r="V196" s="21" t="str">
        <f>N186</f>
        <v>Total</v>
      </c>
      <c r="W196" s="22" t="e">
        <f t="shared" si="44"/>
        <v>#N/A</v>
      </c>
      <c r="X196" s="22" t="e">
        <f t="shared" si="44"/>
        <v>#N/A</v>
      </c>
      <c r="Y196" s="22" t="e">
        <f t="shared" si="44"/>
        <v>#N/A</v>
      </c>
    </row>
    <row r="197" spans="1:14" ht="15">
      <c r="A197" s="38" t="s">
        <v>891</v>
      </c>
      <c r="N197" s="38" t="s">
        <v>891</v>
      </c>
    </row>
    <row r="198" spans="2:17" ht="15">
      <c r="B198" t="s">
        <v>876</v>
      </c>
      <c r="C198" t="s">
        <v>877</v>
      </c>
      <c r="D198" t="s">
        <v>878</v>
      </c>
      <c r="O198" t="s">
        <v>876</v>
      </c>
      <c r="P198" t="s">
        <v>877</v>
      </c>
      <c r="Q198" t="s">
        <v>878</v>
      </c>
    </row>
    <row r="199" spans="1:17" ht="15">
      <c r="A199" t="s">
        <v>873</v>
      </c>
      <c r="B199" t="str">
        <f>IF($I$5="","",INDEX(ReportAndOutcomeHistory!155:155,MATCH($I$5,ReportAndOutcomeHistory!$1:$1,0)))</f>
        <v/>
      </c>
      <c r="C199" t="str">
        <f>IF($I$5="","",INDEX(ReportAndOutcomeHistory!10:10,MATCH($I$5,ReportAndOutcomeHistory!$1:$1,0)))</f>
        <v/>
      </c>
      <c r="D199" s="10" t="str">
        <f>IF(B199="","",_xlfn.IFERROR(B199/C199,"n/a"))</f>
        <v/>
      </c>
      <c r="N199" t="s">
        <v>873</v>
      </c>
      <c r="O199" t="e">
        <f>IF($B$5="","",INDEX(ReportAndOutcomeHistory!320:320,MATCH($B$5,ReportAndOutcomeHistory!$1:$1,0)))</f>
        <v>#N/A</v>
      </c>
      <c r="P199" t="e">
        <f>IF($B$5="","",INDEX(ReportAndOutcomeHistory!33:33,MATCH($B$5,ReportAndOutcomeHistory!$1:$1,0)))</f>
        <v>#N/A</v>
      </c>
      <c r="Q199" s="10" t="e">
        <f>IF(O199="","",_xlfn.IFERROR(O199/P199,"n/a"))</f>
        <v>#N/A</v>
      </c>
    </row>
    <row r="200" spans="1:17" ht="15">
      <c r="A200" t="s">
        <v>874</v>
      </c>
      <c r="B200" t="str">
        <f>IF($I$5="","",INDEX(ReportAndOutcomeHistory!156:156,MATCH($I$5,ReportAndOutcomeHistory!$1:$1,0)))</f>
        <v/>
      </c>
      <c r="C200" t="str">
        <f>IF($I$5="","",INDEX(ReportAndOutcomeHistory!11:11,MATCH($I$5,ReportAndOutcomeHistory!$1:$1,0)))</f>
        <v/>
      </c>
      <c r="D200" s="10" t="str">
        <f>IF(B200="","",_xlfn.IFERROR(B200/C200,"n/a"))</f>
        <v/>
      </c>
      <c r="N200" t="s">
        <v>874</v>
      </c>
      <c r="O200" t="e">
        <f>IF($B$5="","",INDEX(ReportAndOutcomeHistory!321:321,MATCH($B$5,ReportAndOutcomeHistory!$1:$1,0)))</f>
        <v>#N/A</v>
      </c>
      <c r="P200" t="e">
        <f>IF($B$5="","",INDEX(ReportAndOutcomeHistory!34:34,MATCH($B$5,ReportAndOutcomeHistory!$1:$1,0)))</f>
        <v>#N/A</v>
      </c>
      <c r="Q200" s="10" t="e">
        <f>IF(O200="","",_xlfn.IFERROR(O200/P200,"n/a"))</f>
        <v>#N/A</v>
      </c>
    </row>
    <row r="201" spans="1:17" ht="15">
      <c r="A201" t="s">
        <v>875</v>
      </c>
      <c r="B201" t="str">
        <f>IF($I$5="","",INDEX(ReportAndOutcomeHistory!157:157,MATCH($I$5,ReportAndOutcomeHistory!$1:$1,0)))</f>
        <v/>
      </c>
      <c r="C201" t="str">
        <f>IF($I$5="","",INDEX(ReportAndOutcomeHistory!11:11,MATCH($I$5,ReportAndOutcomeHistory!$1:$1,0)))</f>
        <v/>
      </c>
      <c r="D201" s="10" t="str">
        <f>IF(B201="","",_xlfn.IFERROR(B201/C201,"n/a"))</f>
        <v/>
      </c>
      <c r="N201" t="s">
        <v>875</v>
      </c>
      <c r="O201" t="e">
        <f>IF($B$5="","",INDEX(ReportAndOutcomeHistory!322:322,MATCH($B$5,ReportAndOutcomeHistory!$1:$1,0)))</f>
        <v>#N/A</v>
      </c>
      <c r="P201" t="e">
        <f>IF($B$5="","",INDEX(ReportAndOutcomeHistory!34:34,MATCH($B$5,ReportAndOutcomeHistory!$1:$1,0)))</f>
        <v>#N/A</v>
      </c>
      <c r="Q201" s="10" t="e">
        <f>IF(O201="","",_xlfn.IFERROR(O201/P201,"n/a"))</f>
        <v>#N/A</v>
      </c>
    </row>
    <row r="202" ht="15"/>
    <row r="203" spans="1:14" ht="15">
      <c r="A203" s="38" t="s">
        <v>892</v>
      </c>
      <c r="N203" s="38" t="s">
        <v>892</v>
      </c>
    </row>
    <row r="204" spans="1:17" ht="15">
      <c r="A204" t="s">
        <v>873</v>
      </c>
      <c r="D204" s="10" t="e">
        <f>IF(OR(D199="",D199=0),NA(),D199)</f>
        <v>#N/A</v>
      </c>
      <c r="N204" t="s">
        <v>873</v>
      </c>
      <c r="Q204" s="10" t="e">
        <f>IF(OR(Q199="",Q199=0),NA(),Q199)</f>
        <v>#N/A</v>
      </c>
    </row>
    <row r="205" spans="1:17" ht="15">
      <c r="A205" t="s">
        <v>874</v>
      </c>
      <c r="D205" s="10" t="e">
        <f>IF(OR(D200="",D200=0),NA(),D200)</f>
        <v>#N/A</v>
      </c>
      <c r="N205" t="s">
        <v>874</v>
      </c>
      <c r="Q205" s="10" t="e">
        <f>IF(OR(Q200="",Q200=0),NA(),Q200)</f>
        <v>#N/A</v>
      </c>
    </row>
    <row r="206" spans="1:17" ht="15">
      <c r="A206" t="s">
        <v>875</v>
      </c>
      <c r="D206" s="10" t="e">
        <f>IF(OR(D201="",D201=0),NA(),D201)</f>
        <v>#N/A</v>
      </c>
      <c r="N206" t="s">
        <v>875</v>
      </c>
      <c r="Q206" s="10" t="e">
        <f>IF(OR(Q201="",Q201=0),NA(),Q201)</f>
        <v>#N/A</v>
      </c>
    </row>
    <row r="207" ht="15"/>
    <row r="208" spans="1:14" ht="15">
      <c r="A208" s="38" t="s">
        <v>893</v>
      </c>
      <c r="N208" s="38" t="s">
        <v>893</v>
      </c>
    </row>
    <row r="209" spans="1:17" ht="15">
      <c r="A209" t="s">
        <v>873</v>
      </c>
      <c r="B209" t="str">
        <f aca="true" t="shared" si="45" ref="B209:D211">IF(B199="","",B199)</f>
        <v/>
      </c>
      <c r="C209" t="str">
        <f t="shared" si="45"/>
        <v/>
      </c>
      <c r="D209" s="10" t="str">
        <f t="shared" si="45"/>
        <v/>
      </c>
      <c r="N209" t="s">
        <v>873</v>
      </c>
      <c r="O209" t="e">
        <f aca="true" t="shared" si="46" ref="O209:Q211">IF(O199="","",O199)</f>
        <v>#N/A</v>
      </c>
      <c r="P209" t="e">
        <f t="shared" si="46"/>
        <v>#N/A</v>
      </c>
      <c r="Q209" s="10" t="e">
        <f t="shared" si="46"/>
        <v>#N/A</v>
      </c>
    </row>
    <row r="210" spans="1:17" ht="15">
      <c r="A210" t="s">
        <v>874</v>
      </c>
      <c r="B210" t="str">
        <f t="shared" si="45"/>
        <v/>
      </c>
      <c r="C210" t="str">
        <f t="shared" si="45"/>
        <v/>
      </c>
      <c r="D210" s="10" t="str">
        <f t="shared" si="45"/>
        <v/>
      </c>
      <c r="N210" t="s">
        <v>874</v>
      </c>
      <c r="O210" t="e">
        <f t="shared" si="46"/>
        <v>#N/A</v>
      </c>
      <c r="P210" t="e">
        <f t="shared" si="46"/>
        <v>#N/A</v>
      </c>
      <c r="Q210" s="10" t="e">
        <f t="shared" si="46"/>
        <v>#N/A</v>
      </c>
    </row>
    <row r="211" spans="1:17" ht="15">
      <c r="A211" t="s">
        <v>875</v>
      </c>
      <c r="B211" t="str">
        <f t="shared" si="45"/>
        <v/>
      </c>
      <c r="C211" t="str">
        <f t="shared" si="45"/>
        <v/>
      </c>
      <c r="D211" s="10" t="str">
        <f t="shared" si="45"/>
        <v/>
      </c>
      <c r="N211" t="s">
        <v>875</v>
      </c>
      <c r="O211" t="e">
        <f t="shared" si="46"/>
        <v>#N/A</v>
      </c>
      <c r="P211" t="e">
        <f t="shared" si="46"/>
        <v>#N/A</v>
      </c>
      <c r="Q211" s="10" t="e">
        <f t="shared" si="46"/>
        <v>#N/A</v>
      </c>
    </row>
    <row r="212" ht="15"/>
    <row r="213" spans="9:25" ht="15">
      <c r="I213" s="73" t="s">
        <v>996</v>
      </c>
      <c r="J213" s="73"/>
      <c r="K213" s="73"/>
      <c r="L213" s="43" t="s">
        <v>906</v>
      </c>
      <c r="V213" s="73" t="s">
        <v>996</v>
      </c>
      <c r="W213" s="73"/>
      <c r="X213" s="73"/>
      <c r="Y213" s="43" t="s">
        <v>906</v>
      </c>
    </row>
    <row r="214" spans="9:25" ht="15">
      <c r="I214" s="71" t="s">
        <v>873</v>
      </c>
      <c r="J214" s="71"/>
      <c r="K214" s="71"/>
      <c r="L214" s="22" t="str">
        <f>IF($I$5="","",B199&amp;" ("&amp;TEXT(D199,"0%")&amp;")")</f>
        <v/>
      </c>
      <c r="V214" s="71" t="s">
        <v>873</v>
      </c>
      <c r="W214" s="71"/>
      <c r="X214" s="71"/>
      <c r="Y214" s="22" t="e">
        <f>IF($B$5="","",O199&amp;" ("&amp;TEXT(Q199,"0%")&amp;")")</f>
        <v>#N/A</v>
      </c>
    </row>
    <row r="215" spans="9:25" ht="15">
      <c r="I215" s="71" t="s">
        <v>874</v>
      </c>
      <c r="J215" s="71"/>
      <c r="K215" s="71"/>
      <c r="L215" s="22" t="str">
        <f>IF($I$5="","",B200&amp;" ("&amp;TEXT(D200,"0%")&amp;")")</f>
        <v/>
      </c>
      <c r="V215" s="71" t="s">
        <v>874</v>
      </c>
      <c r="W215" s="71"/>
      <c r="X215" s="71"/>
      <c r="Y215" s="22" t="e">
        <f>IF($B$5="","",O200&amp;" ("&amp;TEXT(Q200,"0%")&amp;")")</f>
        <v>#N/A</v>
      </c>
    </row>
    <row r="216" spans="9:25" ht="15">
      <c r="I216" s="71" t="s">
        <v>875</v>
      </c>
      <c r="J216" s="71"/>
      <c r="K216" s="71"/>
      <c r="L216" s="22" t="str">
        <f>IF($I$5="","",B201&amp;" ("&amp;TEXT(D201,"0%")&amp;")")</f>
        <v/>
      </c>
      <c r="V216" s="71" t="s">
        <v>875</v>
      </c>
      <c r="W216" s="71"/>
      <c r="X216" s="71"/>
      <c r="Y216" s="22" t="e">
        <f>IF($B$5="","",O201&amp;" ("&amp;TEXT(Q201,"0%")&amp;")")</f>
        <v>#N/A</v>
      </c>
    </row>
    <row r="217" ht="15"/>
    <row r="218" spans="1:18" ht="15">
      <c r="A218" s="38"/>
      <c r="B218" s="38" t="s">
        <v>891</v>
      </c>
      <c r="C218" s="38" t="s">
        <v>876</v>
      </c>
      <c r="D218" s="38" t="s">
        <v>894</v>
      </c>
      <c r="E218" s="38" t="s">
        <v>892</v>
      </c>
      <c r="N218" s="38"/>
      <c r="O218" s="38" t="s">
        <v>891</v>
      </c>
      <c r="P218" s="38" t="s">
        <v>876</v>
      </c>
      <c r="Q218" s="38" t="s">
        <v>894</v>
      </c>
      <c r="R218" s="38" t="s">
        <v>892</v>
      </c>
    </row>
    <row r="219" spans="1:18" ht="15">
      <c r="A219" t="s">
        <v>896</v>
      </c>
      <c r="B219" t="str">
        <f>IF($I$5="","",INDEX(ReportAndOutcomeHistory!158:158,MATCH($I$5,ReportAndOutcomeHistory!$1:$1,0)))</f>
        <v/>
      </c>
      <c r="C219" t="str">
        <f>B219</f>
        <v/>
      </c>
      <c r="D219" s="10" t="str">
        <f>IF($I$5="","",_xlfn.IFERROR(B219/B$221,0))</f>
        <v/>
      </c>
      <c r="E219" s="10" t="e">
        <f>IF(OR($I$5="",D219="",D219=0),NA(),D219)</f>
        <v>#N/A</v>
      </c>
      <c r="N219" t="s">
        <v>896</v>
      </c>
      <c r="O219" t="e">
        <f>IF($B$5="","",INDEX(ReportAndOutcomeHistory!323:323,MATCH($B$5,ReportAndOutcomeHistory!$1:$1,0)))</f>
        <v>#N/A</v>
      </c>
      <c r="P219" t="e">
        <f>O219</f>
        <v>#N/A</v>
      </c>
      <c r="Q219" s="10">
        <f>IF($B$5="","",_xlfn.IFERROR(O219/O$221,0))</f>
        <v>0</v>
      </c>
      <c r="R219" s="10" t="e">
        <f>IF(OR($B$5="",Q219="",Q219=0),NA(),Q219)</f>
        <v>#N/A</v>
      </c>
    </row>
    <row r="220" spans="1:18" ht="15">
      <c r="A220" t="s">
        <v>895</v>
      </c>
      <c r="B220" t="str">
        <f>IF($I$5="","",INDEX(ReportAndOutcomeHistory!159:159,MATCH($I$5,ReportAndOutcomeHistory!$1:$1,0)))</f>
        <v/>
      </c>
      <c r="C220" t="str">
        <f>B220</f>
        <v/>
      </c>
      <c r="D220" s="10" t="str">
        <f>IF($I$5="","",_xlfn.IFERROR(B220/B$221,0))</f>
        <v/>
      </c>
      <c r="E220" s="10" t="e">
        <f>IF(OR($I$5="",D220="",D220=0),NA(),D220)</f>
        <v>#N/A</v>
      </c>
      <c r="N220" t="s">
        <v>895</v>
      </c>
      <c r="O220" t="e">
        <f>IF($B$5="","",INDEX(ReportAndOutcomeHistory!324:324,MATCH($B$5,ReportAndOutcomeHistory!$1:$1,0)))</f>
        <v>#N/A</v>
      </c>
      <c r="P220" t="e">
        <f>O220</f>
        <v>#N/A</v>
      </c>
      <c r="Q220" s="10">
        <f>IF($B$5="","",_xlfn.IFERROR(O220/O$221,0))</f>
        <v>0</v>
      </c>
      <c r="R220" s="10" t="e">
        <f>IF(OR($B$5="",Q220="",Q220=0),NA(),Q220)</f>
        <v>#N/A</v>
      </c>
    </row>
    <row r="221" spans="1:18" ht="15">
      <c r="A221" t="s">
        <v>897</v>
      </c>
      <c r="B221" t="str">
        <f>IF($I$5="","",INDEX(ReportAndOutcomeHistory!6:6,MATCH($I$5,ReportAndOutcomeHistory!$1:$1,0)))</f>
        <v/>
      </c>
      <c r="C221" t="str">
        <f>B221</f>
        <v/>
      </c>
      <c r="D221" s="10" t="str">
        <f>IF($I$5="","",_xlfn.IFERROR(B221/B$221,0))</f>
        <v/>
      </c>
      <c r="E221" s="10" t="e">
        <f>IF(OR($I$5="",D221="",D221=0),NA(),D221)</f>
        <v>#N/A</v>
      </c>
      <c r="N221" t="s">
        <v>897</v>
      </c>
      <c r="O221" t="e">
        <f>IF($B$5="","",INDEX(ReportAndOutcomeHistory!29:29,MATCH($B$5,ReportAndOutcomeHistory!$1:$1,0)))</f>
        <v>#N/A</v>
      </c>
      <c r="P221" t="e">
        <f>O221</f>
        <v>#N/A</v>
      </c>
      <c r="Q221" s="10">
        <f>IF($B$5="","",_xlfn.IFERROR(O221/O$221,0))</f>
        <v>0</v>
      </c>
      <c r="R221" s="10" t="e">
        <f>IF(OR($B$5="",Q221="",Q221=0),NA(),Q221)</f>
        <v>#N/A</v>
      </c>
    </row>
    <row r="222" ht="15"/>
    <row r="223" ht="15"/>
    <row r="224" ht="15"/>
    <row r="225" ht="15"/>
    <row r="226" ht="15"/>
    <row r="227" ht="15"/>
    <row r="228" ht="15"/>
    <row r="229" spans="9:24" ht="15">
      <c r="I229" s="73" t="s">
        <v>982</v>
      </c>
      <c r="J229" s="73"/>
      <c r="K229" s="43" t="s">
        <v>906</v>
      </c>
      <c r="V229" s="73" t="s">
        <v>982</v>
      </c>
      <c r="W229" s="73"/>
      <c r="X229" s="43" t="s">
        <v>906</v>
      </c>
    </row>
    <row r="230" spans="9:24" ht="15">
      <c r="I230" s="71" t="s">
        <v>896</v>
      </c>
      <c r="J230" s="71"/>
      <c r="K230" s="22" t="str">
        <f>IF($I$5="","",C219&amp;" ("&amp;TEXT(D219,"0%")&amp;")")</f>
        <v/>
      </c>
      <c r="V230" s="71" t="s">
        <v>896</v>
      </c>
      <c r="W230" s="71"/>
      <c r="X230" s="22" t="e">
        <f>IF($B$5="","",P219&amp;" ("&amp;TEXT(Q219,"0%")&amp;")")</f>
        <v>#N/A</v>
      </c>
    </row>
    <row r="231" spans="9:24" ht="15">
      <c r="I231" s="71" t="s">
        <v>895</v>
      </c>
      <c r="J231" s="71"/>
      <c r="K231" s="22" t="str">
        <f>IF($I$5="","",C220&amp;" ("&amp;TEXT(D220,"0%")&amp;")")</f>
        <v/>
      </c>
      <c r="V231" s="71" t="s">
        <v>895</v>
      </c>
      <c r="W231" s="71"/>
      <c r="X231" s="22" t="e">
        <f>IF($B$5="","",P220&amp;" ("&amp;TEXT(Q220,"0%")&amp;")")</f>
        <v>#N/A</v>
      </c>
    </row>
    <row r="232" spans="2:20" ht="15">
      <c r="B232" s="75" t="s">
        <v>891</v>
      </c>
      <c r="C232" s="75"/>
      <c r="D232" s="75"/>
      <c r="E232" s="38" t="s">
        <v>876</v>
      </c>
      <c r="F232" s="38" t="s">
        <v>894</v>
      </c>
      <c r="G232" s="38" t="s">
        <v>892</v>
      </c>
      <c r="O232" s="75" t="s">
        <v>891</v>
      </c>
      <c r="P232" s="75"/>
      <c r="Q232" s="75"/>
      <c r="R232" s="38" t="s">
        <v>876</v>
      </c>
      <c r="S232" s="38" t="s">
        <v>894</v>
      </c>
      <c r="T232" s="38" t="s">
        <v>892</v>
      </c>
    </row>
    <row r="233" spans="2:20" ht="15">
      <c r="B233" t="s">
        <v>898</v>
      </c>
      <c r="C233" t="s">
        <v>838</v>
      </c>
      <c r="D233" t="s">
        <v>844</v>
      </c>
      <c r="E233" t="s">
        <v>898</v>
      </c>
      <c r="F233" t="s">
        <v>844</v>
      </c>
      <c r="G233" t="s">
        <v>844</v>
      </c>
      <c r="O233" t="s">
        <v>898</v>
      </c>
      <c r="P233" t="s">
        <v>838</v>
      </c>
      <c r="Q233" t="s">
        <v>844</v>
      </c>
      <c r="R233" t="s">
        <v>898</v>
      </c>
      <c r="S233" t="s">
        <v>844</v>
      </c>
      <c r="T233" t="s">
        <v>844</v>
      </c>
    </row>
    <row r="234" spans="1:20" ht="15">
      <c r="A234" t="s">
        <v>939</v>
      </c>
      <c r="B234" t="str">
        <f>IF($I$5="","",INDEX(ReportAndOutcomeHistory!167:167,MATCH($I$5,ReportAndOutcomeHistory!$1:$1,0)))</f>
        <v/>
      </c>
      <c r="C234" t="str">
        <f>IF($I$5="","",INDEX(ReportAndOutcomeHistory!13:13,MATCH($I$5,ReportAndOutcomeHistory!$1:$1,0)))</f>
        <v/>
      </c>
      <c r="D234" t="str">
        <f>_xlfn.IFERROR(B234/C234,"n/a")</f>
        <v>n/a</v>
      </c>
      <c r="E234" t="str">
        <f>B234</f>
        <v/>
      </c>
      <c r="F234" t="str">
        <f aca="true" t="shared" si="47" ref="F234:F241">D234</f>
        <v>n/a</v>
      </c>
      <c r="G234" s="10" t="e">
        <f>IF($I$5="",NA(),IF(OR(F234="",F234="n/a"),NA(),F234))</f>
        <v>#N/A</v>
      </c>
      <c r="N234" t="s">
        <v>939</v>
      </c>
      <c r="O234" t="e">
        <f>IF($B$5="","",INDEX(ReportAndOutcomeHistory!332:332,MATCH($B$5,ReportAndOutcomeHistory!$1:$1,0)))</f>
        <v>#N/A</v>
      </c>
      <c r="P234" t="e">
        <f>IF($B$5="","",INDEX(ReportAndOutcomeHistory!36:36,MATCH($B$5,ReportAndOutcomeHistory!$1:$1,0)))</f>
        <v>#N/A</v>
      </c>
      <c r="Q234" t="str">
        <f aca="true" t="shared" si="48" ref="Q234:Q241">_xlfn.IFERROR(O234/P234,"n/a")</f>
        <v>n/a</v>
      </c>
      <c r="R234" t="e">
        <f aca="true" t="shared" si="49" ref="R234:R241">O234</f>
        <v>#N/A</v>
      </c>
      <c r="S234" t="str">
        <f aca="true" t="shared" si="50" ref="S234:S241">Q234</f>
        <v>n/a</v>
      </c>
      <c r="T234" s="10" t="e">
        <f aca="true" t="shared" si="51" ref="T234:T241">IF($B$5="",NA(),IF(OR(S234="",S234="n/a"),NA(),S234))</f>
        <v>#N/A</v>
      </c>
    </row>
    <row r="235" spans="1:20" ht="15">
      <c r="A235" t="s">
        <v>101</v>
      </c>
      <c r="B235" t="str">
        <f>IF($I$5="","",INDEX(ReportAndOutcomeHistory!168:168,MATCH($I$5,ReportAndOutcomeHistory!$1:$1,0)))</f>
        <v/>
      </c>
      <c r="C235" t="str">
        <f>IF($I$5="","",INDEX(ReportAndOutcomeHistory!160:160,MATCH($I$5,ReportAndOutcomeHistory!$1:$1,0)))</f>
        <v/>
      </c>
      <c r="D235" t="str">
        <f>_xlfn.IFERROR(B235/C235,"n/a")</f>
        <v>n/a</v>
      </c>
      <c r="E235" t="str">
        <f aca="true" t="shared" si="52" ref="E235:E241">B235</f>
        <v/>
      </c>
      <c r="F235" t="str">
        <f t="shared" si="47"/>
        <v>n/a</v>
      </c>
      <c r="G235" s="10" t="e">
        <f aca="true" t="shared" si="53" ref="G235:G241">IF($I$5="",NA(),IF(OR(F235="",F235="n/a"),NA(),F235))</f>
        <v>#N/A</v>
      </c>
      <c r="N235" t="s">
        <v>101</v>
      </c>
      <c r="O235" t="e">
        <f>IF($B$5="","",INDEX(ReportAndOutcomeHistory!333:333,MATCH($B$5,ReportAndOutcomeHistory!$1:$1,0)))</f>
        <v>#N/A</v>
      </c>
      <c r="P235" t="e">
        <f>IF($B$5="","",INDEX(ReportAndOutcomeHistory!325:325,MATCH($B$5,ReportAndOutcomeHistory!$1:$1,0)))</f>
        <v>#N/A</v>
      </c>
      <c r="Q235" t="str">
        <f t="shared" si="48"/>
        <v>n/a</v>
      </c>
      <c r="R235" t="e">
        <f t="shared" si="49"/>
        <v>#N/A</v>
      </c>
      <c r="S235" t="str">
        <f t="shared" si="50"/>
        <v>n/a</v>
      </c>
      <c r="T235" s="10" t="e">
        <f t="shared" si="51"/>
        <v>#N/A</v>
      </c>
    </row>
    <row r="236" spans="1:20" ht="15">
      <c r="A236" t="s">
        <v>94</v>
      </c>
      <c r="B236" t="str">
        <f>IF($I$5="","",INDEX(ReportAndOutcomeHistory!169:169,MATCH($I$5,ReportAndOutcomeHistory!$1:$1,0)))</f>
        <v/>
      </c>
      <c r="C236" t="str">
        <f>IF($I$5="","",INDEX(ReportAndOutcomeHistory!161:161,MATCH($I$5,ReportAndOutcomeHistory!$1:$1,0)))</f>
        <v/>
      </c>
      <c r="D236" t="str">
        <f aca="true" t="shared" si="54" ref="D236:D241">_xlfn.IFERROR(B236/C236,"n/a")</f>
        <v>n/a</v>
      </c>
      <c r="E236" t="str">
        <f t="shared" si="52"/>
        <v/>
      </c>
      <c r="F236" t="str">
        <f t="shared" si="47"/>
        <v>n/a</v>
      </c>
      <c r="G236" s="10" t="e">
        <f t="shared" si="53"/>
        <v>#N/A</v>
      </c>
      <c r="N236" t="s">
        <v>94</v>
      </c>
      <c r="O236" t="e">
        <f>IF($B$5="","",INDEX(ReportAndOutcomeHistory!334:334,MATCH($B$5,ReportAndOutcomeHistory!$1:$1,0)))</f>
        <v>#N/A</v>
      </c>
      <c r="P236" t="e">
        <f>IF($B$5="","",INDEX(ReportAndOutcomeHistory!326:326,MATCH($B$5,ReportAndOutcomeHistory!$1:$1,0)))</f>
        <v>#N/A</v>
      </c>
      <c r="Q236" t="str">
        <f t="shared" si="48"/>
        <v>n/a</v>
      </c>
      <c r="R236" t="e">
        <f t="shared" si="49"/>
        <v>#N/A</v>
      </c>
      <c r="S236" t="str">
        <f t="shared" si="50"/>
        <v>n/a</v>
      </c>
      <c r="T236" s="10" t="e">
        <f t="shared" si="51"/>
        <v>#N/A</v>
      </c>
    </row>
    <row r="237" spans="1:20" ht="15">
      <c r="A237" t="s">
        <v>106</v>
      </c>
      <c r="B237" t="str">
        <f>IF($I$5="","",INDEX(ReportAndOutcomeHistory!170:170,MATCH($I$5,ReportAndOutcomeHistory!$1:$1,0)))</f>
        <v/>
      </c>
      <c r="C237" t="str">
        <f>IF($I$5="","",INDEX(ReportAndOutcomeHistory!162:162,MATCH($I$5,ReportAndOutcomeHistory!$1:$1,0)))</f>
        <v/>
      </c>
      <c r="D237" t="str">
        <f t="shared" si="54"/>
        <v>n/a</v>
      </c>
      <c r="E237" t="str">
        <f t="shared" si="52"/>
        <v/>
      </c>
      <c r="F237" t="str">
        <f t="shared" si="47"/>
        <v>n/a</v>
      </c>
      <c r="G237" s="10" t="e">
        <f t="shared" si="53"/>
        <v>#N/A</v>
      </c>
      <c r="N237" t="s">
        <v>106</v>
      </c>
      <c r="O237" t="e">
        <f>IF($B$5="","",INDEX(ReportAndOutcomeHistory!335:335,MATCH($B$5,ReportAndOutcomeHistory!$1:$1,0)))</f>
        <v>#N/A</v>
      </c>
      <c r="P237" t="e">
        <f>IF($B$5="","",INDEX(ReportAndOutcomeHistory!327:327,MATCH($B$5,ReportAndOutcomeHistory!$1:$1,0)))</f>
        <v>#N/A</v>
      </c>
      <c r="Q237" t="str">
        <f t="shared" si="48"/>
        <v>n/a</v>
      </c>
      <c r="R237" t="e">
        <f t="shared" si="49"/>
        <v>#N/A</v>
      </c>
      <c r="S237" t="str">
        <f t="shared" si="50"/>
        <v>n/a</v>
      </c>
      <c r="T237" s="10" t="e">
        <f t="shared" si="51"/>
        <v>#N/A</v>
      </c>
    </row>
    <row r="238" spans="1:20" ht="15">
      <c r="A238" t="s">
        <v>109</v>
      </c>
      <c r="B238" t="str">
        <f>IF($I$5="","",INDEX(ReportAndOutcomeHistory!171:171,MATCH($I$5,ReportAndOutcomeHistory!$1:$1,0)))</f>
        <v/>
      </c>
      <c r="C238" t="str">
        <f>IF($I$5="","",INDEX(ReportAndOutcomeHistory!163:163,MATCH($I$5,ReportAndOutcomeHistory!$1:$1,0)))</f>
        <v/>
      </c>
      <c r="D238" t="str">
        <f t="shared" si="54"/>
        <v>n/a</v>
      </c>
      <c r="E238" t="str">
        <f t="shared" si="52"/>
        <v/>
      </c>
      <c r="F238" t="str">
        <f t="shared" si="47"/>
        <v>n/a</v>
      </c>
      <c r="G238" s="10" t="e">
        <f t="shared" si="53"/>
        <v>#N/A</v>
      </c>
      <c r="N238" t="s">
        <v>109</v>
      </c>
      <c r="O238" t="e">
        <f>IF($B$5="","",INDEX(ReportAndOutcomeHistory!336:336,MATCH($B$5,ReportAndOutcomeHistory!$1:$1,0)))</f>
        <v>#N/A</v>
      </c>
      <c r="P238" t="e">
        <f>IF($B$5="","",INDEX(ReportAndOutcomeHistory!328:328,MATCH($B$5,ReportAndOutcomeHistory!$1:$1,0)))</f>
        <v>#N/A</v>
      </c>
      <c r="Q238" t="str">
        <f t="shared" si="48"/>
        <v>n/a</v>
      </c>
      <c r="R238" t="e">
        <f t="shared" si="49"/>
        <v>#N/A</v>
      </c>
      <c r="S238" t="str">
        <f t="shared" si="50"/>
        <v>n/a</v>
      </c>
      <c r="T238" s="10" t="e">
        <f t="shared" si="51"/>
        <v>#N/A</v>
      </c>
    </row>
    <row r="239" spans="1:20" ht="15">
      <c r="A239" t="s">
        <v>929</v>
      </c>
      <c r="B239" t="str">
        <f>IF($I$5="","",INDEX(ReportAndOutcomeHistory!172:172,MATCH($I$5,ReportAndOutcomeHistory!$1:$1,0)))</f>
        <v/>
      </c>
      <c r="C239" t="str">
        <f>IF($I$5="","",INDEX(ReportAndOutcomeHistory!164:164,MATCH($I$5,ReportAndOutcomeHistory!$1:$1,0)))</f>
        <v/>
      </c>
      <c r="D239" t="str">
        <f t="shared" si="54"/>
        <v>n/a</v>
      </c>
      <c r="E239" t="str">
        <f t="shared" si="52"/>
        <v/>
      </c>
      <c r="F239" t="str">
        <f t="shared" si="47"/>
        <v>n/a</v>
      </c>
      <c r="G239" s="10" t="e">
        <f t="shared" si="53"/>
        <v>#N/A</v>
      </c>
      <c r="N239" t="s">
        <v>929</v>
      </c>
      <c r="O239" t="e">
        <f>IF($B$5="","",INDEX(ReportAndOutcomeHistory!337:337,MATCH($B$5,ReportAndOutcomeHistory!$1:$1,0)))</f>
        <v>#N/A</v>
      </c>
      <c r="P239" t="e">
        <f>IF($B$5="","",INDEX(ReportAndOutcomeHistory!329:329,MATCH($B$5,ReportAndOutcomeHistory!$1:$1,0)))</f>
        <v>#N/A</v>
      </c>
      <c r="Q239" t="str">
        <f t="shared" si="48"/>
        <v>n/a</v>
      </c>
      <c r="R239" t="e">
        <f t="shared" si="49"/>
        <v>#N/A</v>
      </c>
      <c r="S239" t="str">
        <f t="shared" si="50"/>
        <v>n/a</v>
      </c>
      <c r="T239" s="10" t="e">
        <f t="shared" si="51"/>
        <v>#N/A</v>
      </c>
    </row>
    <row r="240" spans="1:20" ht="15">
      <c r="A240" t="s">
        <v>27</v>
      </c>
      <c r="B240" t="str">
        <f>IF($I$5="","",INDEX(ReportAndOutcomeHistory!173:173,MATCH($I$5,ReportAndOutcomeHistory!$1:$1,0)))</f>
        <v/>
      </c>
      <c r="C240" t="str">
        <f>IF($I$5="","",INDEX(ReportAndOutcomeHistory!165:165,MATCH($I$5,ReportAndOutcomeHistory!$1:$1,0)))</f>
        <v/>
      </c>
      <c r="D240" t="str">
        <f t="shared" si="54"/>
        <v>n/a</v>
      </c>
      <c r="E240" t="str">
        <f t="shared" si="52"/>
        <v/>
      </c>
      <c r="F240" t="str">
        <f t="shared" si="47"/>
        <v>n/a</v>
      </c>
      <c r="G240" s="10" t="e">
        <f t="shared" si="53"/>
        <v>#N/A</v>
      </c>
      <c r="N240" t="s">
        <v>27</v>
      </c>
      <c r="O240" t="e">
        <f>IF($B$5="","",INDEX(ReportAndOutcomeHistory!338:338,MATCH($B$5,ReportAndOutcomeHistory!$1:$1,0)))</f>
        <v>#N/A</v>
      </c>
      <c r="P240" t="e">
        <f>IF($B$5="","",INDEX(ReportAndOutcomeHistory!330:330,MATCH($B$5,ReportAndOutcomeHistory!$1:$1,0)))</f>
        <v>#N/A</v>
      </c>
      <c r="Q240" t="str">
        <f t="shared" si="48"/>
        <v>n/a</v>
      </c>
      <c r="R240" t="e">
        <f t="shared" si="49"/>
        <v>#N/A</v>
      </c>
      <c r="S240" t="str">
        <f t="shared" si="50"/>
        <v>n/a</v>
      </c>
      <c r="T240" s="10" t="e">
        <f t="shared" si="51"/>
        <v>#N/A</v>
      </c>
    </row>
    <row r="241" spans="1:20" ht="15">
      <c r="A241" t="s">
        <v>405</v>
      </c>
      <c r="B241" t="str">
        <f>IF($I$5="","",INDEX(ReportAndOutcomeHistory!174:174,MATCH($I$5,ReportAndOutcomeHistory!$1:$1,0)))</f>
        <v/>
      </c>
      <c r="C241" t="str">
        <f>IF($I$5="","",INDEX(ReportAndOutcomeHistory!166:166,MATCH($I$5,ReportAndOutcomeHistory!$1:$1,0)))</f>
        <v/>
      </c>
      <c r="D241" t="str">
        <f t="shared" si="54"/>
        <v>n/a</v>
      </c>
      <c r="E241" t="str">
        <f t="shared" si="52"/>
        <v/>
      </c>
      <c r="F241" t="str">
        <f t="shared" si="47"/>
        <v>n/a</v>
      </c>
      <c r="G241" s="10" t="e">
        <f t="shared" si="53"/>
        <v>#N/A</v>
      </c>
      <c r="N241" t="s">
        <v>405</v>
      </c>
      <c r="O241" t="e">
        <f>IF($B$5="","",INDEX(ReportAndOutcomeHistory!339:339,MATCH($B$5,ReportAndOutcomeHistory!$1:$1,0)))</f>
        <v>#N/A</v>
      </c>
      <c r="P241" t="e">
        <f>IF($B$5="","",INDEX(ReportAndOutcomeHistory!331:331,MATCH($B$5,ReportAndOutcomeHistory!$1:$1,0)))</f>
        <v>#N/A</v>
      </c>
      <c r="Q241" t="str">
        <f t="shared" si="48"/>
        <v>n/a</v>
      </c>
      <c r="R241" t="e">
        <f t="shared" si="49"/>
        <v>#N/A</v>
      </c>
      <c r="S241" t="str">
        <f t="shared" si="50"/>
        <v>n/a</v>
      </c>
      <c r="T241" s="10" t="e">
        <f t="shared" si="51"/>
        <v>#N/A</v>
      </c>
    </row>
    <row r="242" ht="15"/>
    <row r="243" ht="15"/>
    <row r="244" ht="15"/>
    <row r="245" ht="15"/>
    <row r="246" ht="15"/>
    <row r="247" ht="15"/>
    <row r="248" ht="15"/>
    <row r="249" ht="15"/>
    <row r="250" ht="15"/>
    <row r="251" ht="15"/>
    <row r="252" ht="15"/>
    <row r="253" ht="15"/>
    <row r="254" ht="15"/>
    <row r="255" ht="15"/>
    <row r="256" ht="15"/>
    <row r="257" ht="15"/>
    <row r="258" ht="15"/>
    <row r="259" ht="15"/>
    <row r="260" spans="9:23" ht="15">
      <c r="I260" s="34" t="s">
        <v>997</v>
      </c>
      <c r="J260" s="43" t="s">
        <v>905</v>
      </c>
      <c r="V260" s="34" t="s">
        <v>997</v>
      </c>
      <c r="W260" s="43" t="s">
        <v>905</v>
      </c>
    </row>
    <row r="261" spans="9:23" ht="15">
      <c r="I261" s="39" t="str">
        <f aca="true" t="shared" si="55" ref="I261:I268">A234</f>
        <v>All Psychotropic Medications*</v>
      </c>
      <c r="J261" s="22" t="str">
        <f aca="true" t="shared" si="56" ref="J261:J268">IF($I$5="","",E234&amp;" ("&amp;TEXT(F234,"0%")&amp;")")</f>
        <v/>
      </c>
      <c r="V261" s="39" t="str">
        <f aca="true" t="shared" si="57" ref="V261:V268">N234</f>
        <v>All Psychotropic Medications*</v>
      </c>
      <c r="W261" s="22" t="e">
        <f aca="true" t="shared" si="58" ref="W261:W268">IF($B$5="","",R234&amp;" ("&amp;TEXT(S234,"0%")&amp;")")</f>
        <v>#N/A</v>
      </c>
    </row>
    <row r="262" spans="9:23" ht="15">
      <c r="I262" s="39" t="str">
        <f t="shared" si="55"/>
        <v>Antianxiety Agents</v>
      </c>
      <c r="J262" s="22" t="str">
        <f t="shared" si="56"/>
        <v/>
      </c>
      <c r="V262" s="39" t="str">
        <f t="shared" si="57"/>
        <v>Antianxiety Agents</v>
      </c>
      <c r="W262" s="22" t="e">
        <f t="shared" si="58"/>
        <v>#N/A</v>
      </c>
    </row>
    <row r="263" spans="9:23" ht="15">
      <c r="I263" s="39" t="str">
        <f t="shared" si="55"/>
        <v>Antidepressants</v>
      </c>
      <c r="J263" s="22" t="str">
        <f t="shared" si="56"/>
        <v/>
      </c>
      <c r="V263" s="39" t="str">
        <f t="shared" si="57"/>
        <v>Antidepressants</v>
      </c>
      <c r="W263" s="22" t="e">
        <f t="shared" si="58"/>
        <v>#N/A</v>
      </c>
    </row>
    <row r="264" spans="9:23" ht="30">
      <c r="I264" s="39" t="str">
        <f t="shared" si="55"/>
        <v>Hypnotics/Sedatives/Sleep Disorder Agents</v>
      </c>
      <c r="J264" s="22" t="str">
        <f t="shared" si="56"/>
        <v/>
      </c>
      <c r="V264" s="39" t="str">
        <f t="shared" si="57"/>
        <v>Hypnotics/Sedatives/Sleep Disorder Agents</v>
      </c>
      <c r="W264" s="22" t="e">
        <f t="shared" si="58"/>
        <v>#N/A</v>
      </c>
    </row>
    <row r="265" spans="9:23" ht="15">
      <c r="I265" s="39" t="str">
        <f t="shared" si="55"/>
        <v>Antipsychotics/Antimanic Agents</v>
      </c>
      <c r="J265" s="22" t="str">
        <f t="shared" si="56"/>
        <v/>
      </c>
      <c r="V265" s="39" t="str">
        <f t="shared" si="57"/>
        <v>Antipsychotics/Antimanic Agents</v>
      </c>
      <c r="W265" s="22" t="e">
        <f t="shared" si="58"/>
        <v>#N/A</v>
      </c>
    </row>
    <row r="266" spans="9:23" ht="30">
      <c r="I266" s="39" t="str">
        <f t="shared" si="55"/>
        <v>Psychotherapeutic And Neurological Agents</v>
      </c>
      <c r="J266" s="22" t="str">
        <f t="shared" si="56"/>
        <v/>
      </c>
      <c r="V266" s="39" t="str">
        <f t="shared" si="57"/>
        <v>Psychotherapeutic And Neurological Agents</v>
      </c>
      <c r="W266" s="22" t="e">
        <f t="shared" si="58"/>
        <v>#N/A</v>
      </c>
    </row>
    <row r="267" spans="9:23" ht="15">
      <c r="I267" s="39" t="str">
        <f t="shared" si="55"/>
        <v>Other</v>
      </c>
      <c r="J267" s="22" t="str">
        <f t="shared" si="56"/>
        <v/>
      </c>
      <c r="V267" s="39" t="str">
        <f t="shared" si="57"/>
        <v>Other</v>
      </c>
      <c r="W267" s="22" t="e">
        <f t="shared" si="58"/>
        <v>#N/A</v>
      </c>
    </row>
    <row r="268" spans="9:23" ht="15">
      <c r="I268" s="39" t="str">
        <f t="shared" si="55"/>
        <v>Unknown</v>
      </c>
      <c r="J268" s="22" t="str">
        <f t="shared" si="56"/>
        <v/>
      </c>
      <c r="V268" s="39" t="str">
        <f t="shared" si="57"/>
        <v>Unknown</v>
      </c>
      <c r="W268" s="22" t="e">
        <f t="shared" si="58"/>
        <v>#N/A</v>
      </c>
    </row>
    <row r="269" ht="15"/>
    <row r="270" spans="9:25" ht="30" customHeight="1">
      <c r="I270" s="72" t="s">
        <v>940</v>
      </c>
      <c r="J270" s="72"/>
      <c r="K270" s="72"/>
      <c r="L270" s="72"/>
      <c r="V270" s="72" t="s">
        <v>940</v>
      </c>
      <c r="W270" s="72"/>
      <c r="X270" s="72"/>
      <c r="Y270" s="72"/>
    </row>
    <row r="271" ht="15"/>
    <row r="272" ht="15"/>
    <row r="273" spans="2:18" ht="15">
      <c r="B273" t="s">
        <v>891</v>
      </c>
      <c r="C273" t="s">
        <v>876</v>
      </c>
      <c r="D273" t="s">
        <v>894</v>
      </c>
      <c r="E273" t="s">
        <v>892</v>
      </c>
      <c r="O273" t="s">
        <v>891</v>
      </c>
      <c r="P273" t="s">
        <v>876</v>
      </c>
      <c r="Q273" t="s">
        <v>894</v>
      </c>
      <c r="R273" t="s">
        <v>892</v>
      </c>
    </row>
    <row r="274" spans="1:18" ht="15">
      <c r="A274" t="s">
        <v>900</v>
      </c>
      <c r="B274" t="str">
        <f>IF($I$5="","",INDEX(ReportAndOutcomeHistory!175:175,MATCH($I$5,ReportAndOutcomeHistory!$1:$1,0)))</f>
        <v/>
      </c>
      <c r="C274" t="str">
        <f>B274</f>
        <v/>
      </c>
      <c r="D274" t="str">
        <f>_xlfn.IFERROR(B274/B$279,"n/a")</f>
        <v>n/a</v>
      </c>
      <c r="E274" s="10" t="str">
        <f>IF(OR(D274="",D274=0),NA(),D274)</f>
        <v>n/a</v>
      </c>
      <c r="N274" t="s">
        <v>900</v>
      </c>
      <c r="O274" t="e">
        <f>IF($B$5="","",INDEX(ReportAndOutcomeHistory!340:340,MATCH($B$5,ReportAndOutcomeHistory!$1:$1,0)))</f>
        <v>#N/A</v>
      </c>
      <c r="P274" t="e">
        <f>O274</f>
        <v>#N/A</v>
      </c>
      <c r="Q274" t="str">
        <f>_xlfn.IFERROR(O274/O$279,"n/a")</f>
        <v>n/a</v>
      </c>
      <c r="R274" s="10" t="str">
        <f>IF(OR(Q274="",Q274=0),NA(),Q274)</f>
        <v>n/a</v>
      </c>
    </row>
    <row r="275" spans="1:18" ht="15">
      <c r="A275" t="s">
        <v>901</v>
      </c>
      <c r="B275" t="str">
        <f>IF($I$5="","",INDEX(ReportAndOutcomeHistory!176:176,MATCH($I$5,ReportAndOutcomeHistory!$1:$1,0)))</f>
        <v/>
      </c>
      <c r="C275" t="str">
        <f>B275</f>
        <v/>
      </c>
      <c r="D275" t="str">
        <f>_xlfn.IFERROR(B275/B$279,"n/a")</f>
        <v>n/a</v>
      </c>
      <c r="E275" s="10" t="str">
        <f>IF(OR(D275="",D275=0),NA(),D275)</f>
        <v>n/a</v>
      </c>
      <c r="N275" t="s">
        <v>901</v>
      </c>
      <c r="O275" t="e">
        <f>IF($B$5="","",INDEX(ReportAndOutcomeHistory!341:341,MATCH($B$5,ReportAndOutcomeHistory!$1:$1,0)))</f>
        <v>#N/A</v>
      </c>
      <c r="P275" t="e">
        <f>O275</f>
        <v>#N/A</v>
      </c>
      <c r="Q275" t="str">
        <f>_xlfn.IFERROR(O275/O$279,"n/a")</f>
        <v>n/a</v>
      </c>
      <c r="R275" s="10" t="str">
        <f>IF(OR(Q275="",Q275=0),NA(),Q275)</f>
        <v>n/a</v>
      </c>
    </row>
    <row r="276" spans="1:18" ht="15">
      <c r="A276" t="s">
        <v>902</v>
      </c>
      <c r="B276" t="str">
        <f>IF($I$5="","",INDEX(ReportAndOutcomeHistory!177:177,MATCH($I$5,ReportAndOutcomeHistory!$1:$1,0)))</f>
        <v/>
      </c>
      <c r="C276" t="str">
        <f>B276</f>
        <v/>
      </c>
      <c r="D276" t="str">
        <f>_xlfn.IFERROR(B276/B$279,"n/a")</f>
        <v>n/a</v>
      </c>
      <c r="E276" s="10" t="str">
        <f>IF(OR(D276="",D276=0),NA(),D276)</f>
        <v>n/a</v>
      </c>
      <c r="N276" t="s">
        <v>902</v>
      </c>
      <c r="O276" t="e">
        <f>IF($B$5="","",INDEX(ReportAndOutcomeHistory!342:342,MATCH($B$5,ReportAndOutcomeHistory!$1:$1,0)))</f>
        <v>#N/A</v>
      </c>
      <c r="P276" t="e">
        <f>O276</f>
        <v>#N/A</v>
      </c>
      <c r="Q276" t="str">
        <f>_xlfn.IFERROR(O276/O$279,"n/a")</f>
        <v>n/a</v>
      </c>
      <c r="R276" s="10" t="str">
        <f>IF(OR(Q276="",Q276=0),NA(),Q276)</f>
        <v>n/a</v>
      </c>
    </row>
    <row r="277" spans="1:18" ht="15">
      <c r="A277" t="s">
        <v>903</v>
      </c>
      <c r="B277" t="str">
        <f>IF($I$5="","",INDEX(ReportAndOutcomeHistory!178:178,MATCH($I$5,ReportAndOutcomeHistory!$1:$1,0)))</f>
        <v/>
      </c>
      <c r="C277" t="str">
        <f>B277</f>
        <v/>
      </c>
      <c r="D277" t="str">
        <f>_xlfn.IFERROR(B277/B$279,"n/a")</f>
        <v>n/a</v>
      </c>
      <c r="E277" s="10" t="str">
        <f>IF(OR(D277="",D277=0),NA(),D277)</f>
        <v>n/a</v>
      </c>
      <c r="N277" t="s">
        <v>903</v>
      </c>
      <c r="O277" t="e">
        <f>IF($B$5="","",INDEX(ReportAndOutcomeHistory!343:343,MATCH($B$5,ReportAndOutcomeHistory!$1:$1,0)))</f>
        <v>#N/A</v>
      </c>
      <c r="P277" t="e">
        <f>O277</f>
        <v>#N/A</v>
      </c>
      <c r="Q277" t="str">
        <f>_xlfn.IFERROR(O277/O$279,"n/a")</f>
        <v>n/a</v>
      </c>
      <c r="R277" s="10" t="str">
        <f>IF(OR(Q277="",Q277=0),NA(),Q277)</f>
        <v>n/a</v>
      </c>
    </row>
    <row r="278" spans="1:18" ht="15">
      <c r="A278" t="s">
        <v>904</v>
      </c>
      <c r="B278" t="str">
        <f>IF($I$5="","",INDEX(ReportAndOutcomeHistory!179:179,MATCH($I$5,ReportAndOutcomeHistory!$1:$1,0)))</f>
        <v/>
      </c>
      <c r="C278" t="str">
        <f>B278</f>
        <v/>
      </c>
      <c r="D278" t="str">
        <f>_xlfn.IFERROR(B278/B$279,"n/a")</f>
        <v>n/a</v>
      </c>
      <c r="E278" s="10" t="str">
        <f>IF(OR(D278="",D278=0),NA(),D278)</f>
        <v>n/a</v>
      </c>
      <c r="N278" t="s">
        <v>904</v>
      </c>
      <c r="O278" t="e">
        <f>IF($B$5="","",INDEX(ReportAndOutcomeHistory!344:344,MATCH($B$5,ReportAndOutcomeHistory!$1:$1,0)))</f>
        <v>#N/A</v>
      </c>
      <c r="P278" t="e">
        <f>O278</f>
        <v>#N/A</v>
      </c>
      <c r="Q278" t="str">
        <f>_xlfn.IFERROR(O278/O$279,"n/a")</f>
        <v>n/a</v>
      </c>
      <c r="R278" s="10" t="str">
        <f>IF(OR(Q278="",Q278=0),NA(),Q278)</f>
        <v>n/a</v>
      </c>
    </row>
    <row r="279" spans="1:15" ht="15">
      <c r="A279" t="s">
        <v>838</v>
      </c>
      <c r="B279">
        <f>SUM(B274:B278)</f>
        <v>0</v>
      </c>
      <c r="N279" t="s">
        <v>838</v>
      </c>
      <c r="O279" t="e">
        <f>SUM(O274:O278)</f>
        <v>#N/A</v>
      </c>
    </row>
    <row r="280" ht="15"/>
    <row r="281" ht="15"/>
    <row r="282" ht="15"/>
    <row r="283" ht="15"/>
    <row r="284" ht="15"/>
    <row r="285" ht="15"/>
    <row r="286" ht="15"/>
    <row r="287" spans="9:23" ht="15">
      <c r="I287" s="34" t="s">
        <v>998</v>
      </c>
      <c r="J287" s="43" t="s">
        <v>906</v>
      </c>
      <c r="V287" s="34" t="s">
        <v>998</v>
      </c>
      <c r="W287" s="43" t="s">
        <v>906</v>
      </c>
    </row>
    <row r="288" spans="9:23" ht="15">
      <c r="I288" s="21" t="s">
        <v>900</v>
      </c>
      <c r="J288" s="22" t="str">
        <f>IF($I$5="","",C274&amp;" ("&amp;TEXT(D274,"0%")&amp;")")</f>
        <v/>
      </c>
      <c r="V288" s="21" t="s">
        <v>900</v>
      </c>
      <c r="W288" s="22" t="e">
        <f>IF($B$5="","",P274&amp;" ("&amp;TEXT(Q274,"0%")&amp;")")</f>
        <v>#N/A</v>
      </c>
    </row>
    <row r="289" spans="9:23" ht="15">
      <c r="I289" s="21" t="s">
        <v>901</v>
      </c>
      <c r="J289" s="22" t="str">
        <f>IF($I$5="","",C275&amp;" ("&amp;TEXT(D275,"0%")&amp;")")</f>
        <v/>
      </c>
      <c r="V289" s="21" t="s">
        <v>901</v>
      </c>
      <c r="W289" s="22" t="e">
        <f>IF($B$5="","",P275&amp;" ("&amp;TEXT(Q275,"0%")&amp;")")</f>
        <v>#N/A</v>
      </c>
    </row>
    <row r="290" spans="9:23" ht="15">
      <c r="I290" s="21" t="s">
        <v>902</v>
      </c>
      <c r="J290" s="22" t="str">
        <f>IF($I$5="","",C276&amp;" ("&amp;TEXT(D276,"0%")&amp;")")</f>
        <v/>
      </c>
      <c r="V290" s="21" t="s">
        <v>902</v>
      </c>
      <c r="W290" s="22" t="e">
        <f>IF($B$5="","",P276&amp;" ("&amp;TEXT(Q276,"0%")&amp;")")</f>
        <v>#N/A</v>
      </c>
    </row>
    <row r="291" spans="9:23" ht="15">
      <c r="I291" s="21" t="s">
        <v>903</v>
      </c>
      <c r="J291" s="22" t="str">
        <f>IF($I$5="","",C277&amp;" ("&amp;TEXT(D277,"0%")&amp;")")</f>
        <v/>
      </c>
      <c r="V291" s="21" t="s">
        <v>903</v>
      </c>
      <c r="W291" s="22" t="e">
        <f>IF($B$5="","",P277&amp;" ("&amp;TEXT(Q277,"0%")&amp;")")</f>
        <v>#N/A</v>
      </c>
    </row>
    <row r="292" spans="9:23" ht="15">
      <c r="I292" s="21" t="s">
        <v>904</v>
      </c>
      <c r="J292" s="22" t="str">
        <f>IF($I$5="","",C278&amp;" ("&amp;TEXT(D278,"0%")&amp;")")</f>
        <v/>
      </c>
      <c r="V292" s="21" t="s">
        <v>904</v>
      </c>
      <c r="W292" s="22" t="e">
        <f>IF($B$5="","",P278&amp;" ("&amp;TEXT(Q278,"0%")&amp;")")</f>
        <v>#N/A</v>
      </c>
    </row>
    <row r="293" spans="2:18" ht="15">
      <c r="B293" t="s">
        <v>891</v>
      </c>
      <c r="C293" t="s">
        <v>876</v>
      </c>
      <c r="D293" t="s">
        <v>894</v>
      </c>
      <c r="E293" t="s">
        <v>892</v>
      </c>
      <c r="O293" t="s">
        <v>891</v>
      </c>
      <c r="P293" t="s">
        <v>876</v>
      </c>
      <c r="Q293" t="s">
        <v>894</v>
      </c>
      <c r="R293" t="s">
        <v>892</v>
      </c>
    </row>
    <row r="294" spans="1:18" ht="15">
      <c r="A294" t="s">
        <v>908</v>
      </c>
      <c r="B294" t="str">
        <f>IF($I$5="","",INDEX(ReportAndOutcomeHistory!209:209,MATCH($I$5,ReportAndOutcomeHistory!$1:$1,0)))</f>
        <v/>
      </c>
      <c r="C294" t="str">
        <f aca="true" t="shared" si="59" ref="C294:C299">B294</f>
        <v/>
      </c>
      <c r="D294" s="10" t="str">
        <f aca="true" t="shared" si="60" ref="D294:D299">_xlfn.IFERROR(B294/B$300,"n/a")</f>
        <v>n/a</v>
      </c>
      <c r="E294" s="10" t="e">
        <f aca="true" t="shared" si="61" ref="E294:E299">IF($I$5="",NA(),IF(OR(D294="",D294=0),NA(),D294))</f>
        <v>#N/A</v>
      </c>
      <c r="N294" t="s">
        <v>908</v>
      </c>
      <c r="O294" t="e">
        <f>IF($B$5="","",INDEX(ReportAndOutcomeHistory!374:374,MATCH($B$5,ReportAndOutcomeHistory!$1:$1,0)))</f>
        <v>#N/A</v>
      </c>
      <c r="P294" t="e">
        <f aca="true" t="shared" si="62" ref="P294:P299">O294</f>
        <v>#N/A</v>
      </c>
      <c r="Q294" s="10" t="str">
        <f aca="true" t="shared" si="63" ref="Q294:Q299">_xlfn.IFERROR(O294/O$300,"n/a")</f>
        <v>n/a</v>
      </c>
      <c r="R294" s="10" t="str">
        <f aca="true" t="shared" si="64" ref="R294:R299">IF($B$5="",NA(),IF(OR(Q294="",Q294=0),NA(),Q294))</f>
        <v>n/a</v>
      </c>
    </row>
    <row r="295" spans="1:18" ht="15">
      <c r="A295" t="s">
        <v>222</v>
      </c>
      <c r="B295" t="str">
        <f>IF($I$5="","",INDEX(ReportAndOutcomeHistory!210:210,MATCH($I$5,ReportAndOutcomeHistory!$1:$1,0)))</f>
        <v/>
      </c>
      <c r="C295" t="str">
        <f t="shared" si="59"/>
        <v/>
      </c>
      <c r="D295" s="10" t="str">
        <f t="shared" si="60"/>
        <v>n/a</v>
      </c>
      <c r="E295" s="10" t="e">
        <f t="shared" si="61"/>
        <v>#N/A</v>
      </c>
      <c r="N295" t="s">
        <v>222</v>
      </c>
      <c r="O295" t="e">
        <f>IF($B$5="","",INDEX(ReportAndOutcomeHistory!375:375,MATCH($B$5,ReportAndOutcomeHistory!$1:$1,0)))</f>
        <v>#N/A</v>
      </c>
      <c r="P295" t="e">
        <f t="shared" si="62"/>
        <v>#N/A</v>
      </c>
      <c r="Q295" s="10" t="str">
        <f t="shared" si="63"/>
        <v>n/a</v>
      </c>
      <c r="R295" s="10" t="str">
        <f t="shared" si="64"/>
        <v>n/a</v>
      </c>
    </row>
    <row r="296" spans="1:18" ht="15">
      <c r="A296" t="s">
        <v>223</v>
      </c>
      <c r="B296" t="str">
        <f>IF($I$5="","",INDEX(ReportAndOutcomeHistory!211:211,MATCH($I$5,ReportAndOutcomeHistory!$1:$1,0)))</f>
        <v/>
      </c>
      <c r="C296" t="str">
        <f t="shared" si="59"/>
        <v/>
      </c>
      <c r="D296" s="10" t="str">
        <f t="shared" si="60"/>
        <v>n/a</v>
      </c>
      <c r="E296" s="10" t="e">
        <f t="shared" si="61"/>
        <v>#N/A</v>
      </c>
      <c r="N296" t="s">
        <v>223</v>
      </c>
      <c r="O296" t="e">
        <f>IF($B$5="","",INDEX(ReportAndOutcomeHistory!376:376,MATCH($B$5,ReportAndOutcomeHistory!$1:$1,0)))</f>
        <v>#N/A</v>
      </c>
      <c r="P296" t="e">
        <f t="shared" si="62"/>
        <v>#N/A</v>
      </c>
      <c r="Q296" s="10" t="str">
        <f t="shared" si="63"/>
        <v>n/a</v>
      </c>
      <c r="R296" s="10" t="str">
        <f t="shared" si="64"/>
        <v>n/a</v>
      </c>
    </row>
    <row r="297" spans="1:18" ht="15">
      <c r="A297" t="s">
        <v>224</v>
      </c>
      <c r="B297" t="str">
        <f>IF($I$5="","",INDEX(ReportAndOutcomeHistory!212:212,MATCH($I$5,ReportAndOutcomeHistory!$1:$1,0)))</f>
        <v/>
      </c>
      <c r="C297" t="str">
        <f t="shared" si="59"/>
        <v/>
      </c>
      <c r="D297" s="10" t="str">
        <f t="shared" si="60"/>
        <v>n/a</v>
      </c>
      <c r="E297" s="10" t="e">
        <f t="shared" si="61"/>
        <v>#N/A</v>
      </c>
      <c r="N297" t="s">
        <v>224</v>
      </c>
      <c r="O297" t="e">
        <f>IF($B$5="","",INDEX(ReportAndOutcomeHistory!377:377,MATCH($B$5,ReportAndOutcomeHistory!$1:$1,0)))</f>
        <v>#N/A</v>
      </c>
      <c r="P297" t="e">
        <f t="shared" si="62"/>
        <v>#N/A</v>
      </c>
      <c r="Q297" s="10" t="str">
        <f t="shared" si="63"/>
        <v>n/a</v>
      </c>
      <c r="R297" s="10" t="str">
        <f t="shared" si="64"/>
        <v>n/a</v>
      </c>
    </row>
    <row r="298" spans="1:18" ht="15">
      <c r="A298" t="s">
        <v>225</v>
      </c>
      <c r="B298" t="str">
        <f>IF($I$5="","",INDEX(ReportAndOutcomeHistory!213:213,MATCH($I$5,ReportAndOutcomeHistory!$1:$1,0)))</f>
        <v/>
      </c>
      <c r="C298" t="str">
        <f t="shared" si="59"/>
        <v/>
      </c>
      <c r="D298" s="10" t="str">
        <f t="shared" si="60"/>
        <v>n/a</v>
      </c>
      <c r="E298" s="10" t="e">
        <f t="shared" si="61"/>
        <v>#N/A</v>
      </c>
      <c r="N298" t="s">
        <v>225</v>
      </c>
      <c r="O298" t="e">
        <f>IF($B$5="","",INDEX(ReportAndOutcomeHistory!378:378,MATCH($B$5,ReportAndOutcomeHistory!$1:$1,0)))</f>
        <v>#N/A</v>
      </c>
      <c r="P298" t="e">
        <f t="shared" si="62"/>
        <v>#N/A</v>
      </c>
      <c r="Q298" s="10" t="str">
        <f t="shared" si="63"/>
        <v>n/a</v>
      </c>
      <c r="R298" s="10" t="str">
        <f t="shared" si="64"/>
        <v>n/a</v>
      </c>
    </row>
    <row r="299" spans="1:18" ht="15">
      <c r="A299" t="s">
        <v>226</v>
      </c>
      <c r="B299" t="str">
        <f>IF($I$5="","",INDEX(ReportAndOutcomeHistory!214:214,MATCH($I$5,ReportAndOutcomeHistory!$1:$1,0)))</f>
        <v/>
      </c>
      <c r="C299" t="str">
        <f t="shared" si="59"/>
        <v/>
      </c>
      <c r="D299" s="10" t="str">
        <f t="shared" si="60"/>
        <v>n/a</v>
      </c>
      <c r="E299" s="10" t="e">
        <f t="shared" si="61"/>
        <v>#N/A</v>
      </c>
      <c r="N299" t="s">
        <v>226</v>
      </c>
      <c r="O299" t="e">
        <f>IF($B$5="","",INDEX(ReportAndOutcomeHistory!379:379,MATCH($B$5,ReportAndOutcomeHistory!$1:$1,0)))</f>
        <v>#N/A</v>
      </c>
      <c r="P299" t="e">
        <f t="shared" si="62"/>
        <v>#N/A</v>
      </c>
      <c r="Q299" s="10" t="str">
        <f t="shared" si="63"/>
        <v>n/a</v>
      </c>
      <c r="R299" s="10" t="str">
        <f t="shared" si="64"/>
        <v>n/a</v>
      </c>
    </row>
    <row r="300" spans="1:15" ht="15">
      <c r="A300" t="s">
        <v>907</v>
      </c>
      <c r="B300" t="str">
        <f>IF($I$5="","",INDEX(ReportAndOutcomeHistory!208:208,MATCH($I$5,ReportAndOutcomeHistory!$1:$1,0)))</f>
        <v/>
      </c>
      <c r="N300" t="s">
        <v>907</v>
      </c>
      <c r="O300" t="e">
        <f>IF($B$5="","",INDEX(ReportAndOutcomeHistory!373:373,MATCH($B$5,ReportAndOutcomeHistory!$1:$1,0)))</f>
        <v>#N/A</v>
      </c>
    </row>
    <row r="301" ht="15"/>
    <row r="302" ht="15"/>
    <row r="303" ht="15"/>
    <row r="304" ht="15"/>
    <row r="305" ht="15"/>
    <row r="306" ht="15"/>
    <row r="307" ht="15"/>
    <row r="308" ht="15"/>
    <row r="309" spans="9:23" ht="15">
      <c r="I309" s="34" t="s">
        <v>999</v>
      </c>
      <c r="J309" s="43" t="s">
        <v>909</v>
      </c>
      <c r="V309" s="34" t="s">
        <v>999</v>
      </c>
      <c r="W309" s="43" t="s">
        <v>909</v>
      </c>
    </row>
    <row r="310" spans="9:23" ht="15">
      <c r="I310" s="39" t="s">
        <v>908</v>
      </c>
      <c r="J310" s="22" t="str">
        <f aca="true" t="shared" si="65" ref="J310:J315">IF($I$5="","",C294&amp;" ("&amp;TEXT(D294,"0%")&amp;")")</f>
        <v/>
      </c>
      <c r="V310" s="39" t="s">
        <v>908</v>
      </c>
      <c r="W310" s="22" t="e">
        <f aca="true" t="shared" si="66" ref="W310:W315">IF($B$5="","",P294&amp;" ("&amp;TEXT(Q294,"0%")&amp;")")</f>
        <v>#N/A</v>
      </c>
    </row>
    <row r="311" spans="9:23" ht="15">
      <c r="I311" s="39" t="s">
        <v>222</v>
      </c>
      <c r="J311" s="22" t="str">
        <f t="shared" si="65"/>
        <v/>
      </c>
      <c r="V311" s="39" t="s">
        <v>222</v>
      </c>
      <c r="W311" s="22" t="e">
        <f t="shared" si="66"/>
        <v>#N/A</v>
      </c>
    </row>
    <row r="312" spans="9:23" ht="15">
      <c r="I312" s="39" t="s">
        <v>223</v>
      </c>
      <c r="J312" s="22" t="str">
        <f t="shared" si="65"/>
        <v/>
      </c>
      <c r="V312" s="39" t="s">
        <v>223</v>
      </c>
      <c r="W312" s="22" t="e">
        <f t="shared" si="66"/>
        <v>#N/A</v>
      </c>
    </row>
    <row r="313" spans="9:23" ht="15">
      <c r="I313" s="39" t="s">
        <v>224</v>
      </c>
      <c r="J313" s="22" t="str">
        <f t="shared" si="65"/>
        <v/>
      </c>
      <c r="V313" s="39" t="s">
        <v>224</v>
      </c>
      <c r="W313" s="22" t="e">
        <f t="shared" si="66"/>
        <v>#N/A</v>
      </c>
    </row>
    <row r="314" spans="9:23" ht="30">
      <c r="I314" s="39" t="s">
        <v>225</v>
      </c>
      <c r="J314" s="22" t="str">
        <f t="shared" si="65"/>
        <v/>
      </c>
      <c r="V314" s="39" t="s">
        <v>225</v>
      </c>
      <c r="W314" s="22" t="e">
        <f t="shared" si="66"/>
        <v>#N/A</v>
      </c>
    </row>
    <row r="315" spans="9:23" ht="30">
      <c r="I315" s="39" t="s">
        <v>226</v>
      </c>
      <c r="J315" s="22" t="str">
        <f t="shared" si="65"/>
        <v/>
      </c>
      <c r="V315" s="39" t="s">
        <v>226</v>
      </c>
      <c r="W315" s="22" t="e">
        <f t="shared" si="66"/>
        <v>#N/A</v>
      </c>
    </row>
    <row r="316" ht="15"/>
    <row r="317" spans="2:18" ht="15">
      <c r="B317" t="s">
        <v>891</v>
      </c>
      <c r="C317" t="s">
        <v>876</v>
      </c>
      <c r="D317" t="s">
        <v>894</v>
      </c>
      <c r="E317" t="s">
        <v>892</v>
      </c>
      <c r="O317" t="s">
        <v>891</v>
      </c>
      <c r="P317" t="s">
        <v>876</v>
      </c>
      <c r="Q317" t="s">
        <v>894</v>
      </c>
      <c r="R317" t="s">
        <v>892</v>
      </c>
    </row>
    <row r="318" spans="1:18" ht="15">
      <c r="A318" t="s">
        <v>910</v>
      </c>
      <c r="B318" t="str">
        <f>IF($I$5="","",INDEX(ReportAndOutcomeHistory!216:216,MATCH($I$5,ReportAndOutcomeHistory!$1:$1,0)))</f>
        <v/>
      </c>
      <c r="C318" t="str">
        <f>B318</f>
        <v/>
      </c>
      <c r="D318" s="10" t="str">
        <f>_xlfn.IFERROR(B318/B$320,"n/a")</f>
        <v>n/a</v>
      </c>
      <c r="E318" s="10" t="str">
        <f>IF(OR(D318="",D318=0),NA(),D318)</f>
        <v>n/a</v>
      </c>
      <c r="F318" s="10"/>
      <c r="N318" t="s">
        <v>910</v>
      </c>
      <c r="O318" t="e">
        <f>IF($B$5="","",INDEX(ReportAndOutcomeHistory!381:381,MATCH($B$5,ReportAndOutcomeHistory!$1:$1,0)))</f>
        <v>#N/A</v>
      </c>
      <c r="P318" t="e">
        <f>O318</f>
        <v>#N/A</v>
      </c>
      <c r="Q318" s="10" t="str">
        <f>_xlfn.IFERROR(O318/O$320,"n/a")</f>
        <v>n/a</v>
      </c>
      <c r="R318" s="10" t="str">
        <f>IF(OR(Q318="",Q318=0),NA(),Q318)</f>
        <v>n/a</v>
      </c>
    </row>
    <row r="319" spans="1:18" ht="15">
      <c r="A319" t="s">
        <v>911</v>
      </c>
      <c r="B319" t="str">
        <f>IF($I$5="","",INDEX(ReportAndOutcomeHistory!217:217,MATCH($I$5,ReportAndOutcomeHistory!$1:$1,0)))</f>
        <v/>
      </c>
      <c r="C319" t="str">
        <f>B319</f>
        <v/>
      </c>
      <c r="D319" s="10" t="str">
        <f>_xlfn.IFERROR(B319/B$320,"n/a")</f>
        <v>n/a</v>
      </c>
      <c r="E319" s="10" t="str">
        <f>IF(OR(D319="",D319=0),NA(),D319)</f>
        <v>n/a</v>
      </c>
      <c r="F319" s="10"/>
      <c r="N319" t="s">
        <v>911</v>
      </c>
      <c r="O319" t="e">
        <f>IF($B$5="","",INDEX(ReportAndOutcomeHistory!382:382,MATCH($B$5,ReportAndOutcomeHistory!$1:$1,0)))</f>
        <v>#N/A</v>
      </c>
      <c r="P319" t="e">
        <f>O319</f>
        <v>#N/A</v>
      </c>
      <c r="Q319" s="10" t="str">
        <f>_xlfn.IFERROR(O319/O$320,"n/a")</f>
        <v>n/a</v>
      </c>
      <c r="R319" s="10" t="str">
        <f>IF(OR(Q319="",Q319=0),NA(),Q319)</f>
        <v>n/a</v>
      </c>
    </row>
    <row r="320" spans="1:15" ht="15">
      <c r="A320" t="s">
        <v>838</v>
      </c>
      <c r="B320">
        <f>SUM(B318:B319)</f>
        <v>0</v>
      </c>
      <c r="N320" t="s">
        <v>838</v>
      </c>
      <c r="O320" t="e">
        <f>SUM(O318:O319)</f>
        <v>#N/A</v>
      </c>
    </row>
    <row r="321" ht="15"/>
    <row r="322" ht="15"/>
    <row r="323" ht="15"/>
    <row r="324" ht="15"/>
    <row r="325" ht="15"/>
    <row r="326" ht="15"/>
    <row r="327" ht="15"/>
    <row r="328" ht="15"/>
    <row r="329" ht="15"/>
    <row r="330" ht="15"/>
    <row r="331" ht="15"/>
    <row r="332" spans="9:23" ht="15">
      <c r="I332" s="34" t="s">
        <v>1000</v>
      </c>
      <c r="J332" s="43" t="s">
        <v>912</v>
      </c>
      <c r="V332" s="34" t="s">
        <v>1000</v>
      </c>
      <c r="W332" s="43" t="s">
        <v>912</v>
      </c>
    </row>
    <row r="333" spans="9:23" ht="30">
      <c r="I333" s="39" t="s">
        <v>910</v>
      </c>
      <c r="J333" s="22" t="str">
        <f>IF($I$5="","",C318&amp;" ("&amp;TEXT(D318,"0%")&amp;")")</f>
        <v/>
      </c>
      <c r="V333" s="39" t="s">
        <v>910</v>
      </c>
      <c r="W333" s="22" t="e">
        <f>IF($B$5="","",P318&amp;" ("&amp;TEXT(Q318,"0%")&amp;")")</f>
        <v>#N/A</v>
      </c>
    </row>
    <row r="334" spans="9:23" ht="15">
      <c r="I334" s="39" t="s">
        <v>911</v>
      </c>
      <c r="J334" s="22" t="str">
        <f>IF($I$5="","",C319&amp;" ("&amp;TEXT(D319,"0%")&amp;")")</f>
        <v/>
      </c>
      <c r="V334" s="39" t="s">
        <v>911</v>
      </c>
      <c r="W334" s="22" t="e">
        <f>IF($B$5="","",P319&amp;" ("&amp;TEXT(Q319,"0%")&amp;")")</f>
        <v>#N/A</v>
      </c>
    </row>
    <row r="335" spans="2:17" ht="15">
      <c r="B335" s="74" t="s">
        <v>891</v>
      </c>
      <c r="C335" s="74"/>
      <c r="D335" s="74"/>
      <c r="O335" s="74" t="s">
        <v>891</v>
      </c>
      <c r="P335" s="74"/>
      <c r="Q335" s="74"/>
    </row>
    <row r="336" spans="2:20" ht="15">
      <c r="B336" t="s">
        <v>913</v>
      </c>
      <c r="C336" t="s">
        <v>921</v>
      </c>
      <c r="D336" t="s">
        <v>922</v>
      </c>
      <c r="E336" t="s">
        <v>876</v>
      </c>
      <c r="F336" t="s">
        <v>894</v>
      </c>
      <c r="G336" t="s">
        <v>892</v>
      </c>
      <c r="O336" t="s">
        <v>913</v>
      </c>
      <c r="P336" t="s">
        <v>921</v>
      </c>
      <c r="Q336" t="s">
        <v>922</v>
      </c>
      <c r="R336" t="s">
        <v>876</v>
      </c>
      <c r="S336" t="s">
        <v>894</v>
      </c>
      <c r="T336" t="s">
        <v>892</v>
      </c>
    </row>
    <row r="337" spans="1:20" ht="15">
      <c r="A337" t="s">
        <v>923</v>
      </c>
      <c r="B337" t="str">
        <f>IF($I$5="","",B82)</f>
        <v/>
      </c>
      <c r="C337" t="str">
        <f>IF($I$5="","",B78)</f>
        <v/>
      </c>
      <c r="D337" t="e">
        <f>B337-C337</f>
        <v>#VALUE!</v>
      </c>
      <c r="E337" t="e">
        <f>D337</f>
        <v>#VALUE!</v>
      </c>
      <c r="F337" s="10" t="str">
        <f>_xlfn.IFERROR(D337/B337,"n/a")</f>
        <v>n/a</v>
      </c>
      <c r="G337" s="10" t="e">
        <f>IF($I$5="",NA(),IF(F337="n/a",NA(),F337))</f>
        <v>#N/A</v>
      </c>
      <c r="N337" t="s">
        <v>923</v>
      </c>
      <c r="O337" t="e">
        <f>IF($B$5="","",O82)</f>
        <v>#N/A</v>
      </c>
      <c r="P337" t="e">
        <f>IF($B$5="","",O78)</f>
        <v>#N/A</v>
      </c>
      <c r="Q337" t="e">
        <f>O337-P337</f>
        <v>#N/A</v>
      </c>
      <c r="R337" t="e">
        <f>Q337</f>
        <v>#N/A</v>
      </c>
      <c r="S337" s="10" t="str">
        <f>_xlfn.IFERROR(Q337/O337,"n/a")</f>
        <v>n/a</v>
      </c>
      <c r="T337" s="10" t="e">
        <f>IF($B$5="",NA(),IF(S337="n/a",NA(),S337))</f>
        <v>#N/A</v>
      </c>
    </row>
    <row r="338" spans="1:20" ht="15">
      <c r="A338" t="s">
        <v>924</v>
      </c>
      <c r="B338" t="str">
        <f>IF($I$5="","",C82)</f>
        <v/>
      </c>
      <c r="C338" t="str">
        <f>IF($I$5="","",C78)</f>
        <v/>
      </c>
      <c r="D338" t="e">
        <f>B338-C338</f>
        <v>#VALUE!</v>
      </c>
      <c r="E338" t="e">
        <f>D338</f>
        <v>#VALUE!</v>
      </c>
      <c r="F338" s="10" t="str">
        <f>_xlfn.IFERROR(D338/B338,"n/a")</f>
        <v>n/a</v>
      </c>
      <c r="G338" s="10" t="e">
        <f>IF($I$5="",NA(),IF(F338="n/a",NA(),F338))</f>
        <v>#N/A</v>
      </c>
      <c r="N338" t="s">
        <v>924</v>
      </c>
      <c r="O338" t="e">
        <f>IF($B$5="","",P82)</f>
        <v>#N/A</v>
      </c>
      <c r="P338" t="e">
        <f>IF($B$5="","",P78)</f>
        <v>#N/A</v>
      </c>
      <c r="Q338" t="e">
        <f>O338-P338</f>
        <v>#N/A</v>
      </c>
      <c r="R338" t="e">
        <f>Q338</f>
        <v>#N/A</v>
      </c>
      <c r="S338" s="10" t="str">
        <f>_xlfn.IFERROR(Q338/O338,"n/a")</f>
        <v>n/a</v>
      </c>
      <c r="T338" s="10" t="e">
        <f>IF($B$5="",NA(),IF(S338="n/a",NA(),S338))</f>
        <v>#N/A</v>
      </c>
    </row>
    <row r="339" spans="1:20" ht="15">
      <c r="A339" t="s">
        <v>817</v>
      </c>
      <c r="B339" t="str">
        <f>IF($I$5="","",D82)</f>
        <v/>
      </c>
      <c r="C339" t="str">
        <f>IF($I$5="","",D78)</f>
        <v/>
      </c>
      <c r="D339" t="e">
        <f>B339-C339</f>
        <v>#VALUE!</v>
      </c>
      <c r="E339" t="e">
        <f>D339</f>
        <v>#VALUE!</v>
      </c>
      <c r="F339" s="10" t="str">
        <f>_xlfn.IFERROR(D339/B339,"n/a")</f>
        <v>n/a</v>
      </c>
      <c r="G339" s="10" t="e">
        <f>IF($I$5="",NA(),IF(F339="n/a",NA(),F339))</f>
        <v>#N/A</v>
      </c>
      <c r="N339" t="s">
        <v>817</v>
      </c>
      <c r="O339" t="e">
        <f>IF($B$5="","",Q82)</f>
        <v>#N/A</v>
      </c>
      <c r="P339" t="e">
        <f>IF($B$5="","",Q78)</f>
        <v>#N/A</v>
      </c>
      <c r="Q339" t="e">
        <f>O339-P339</f>
        <v>#N/A</v>
      </c>
      <c r="R339" t="e">
        <f>Q339</f>
        <v>#N/A</v>
      </c>
      <c r="S339" s="10" t="str">
        <f>_xlfn.IFERROR(Q339/O339,"n/a")</f>
        <v>n/a</v>
      </c>
      <c r="T339" s="10" t="e">
        <f>IF($B$5="",NA(),IF(S339="n/a",NA(),S339))</f>
        <v>#N/A</v>
      </c>
    </row>
    <row r="340" spans="1:20" ht="15">
      <c r="A340" t="s">
        <v>818</v>
      </c>
      <c r="B340" t="str">
        <f>IF($I$5="","",E82)</f>
        <v/>
      </c>
      <c r="C340" t="str">
        <f>IF($I$5="","",E78)</f>
        <v/>
      </c>
      <c r="D340" t="e">
        <f>B340-C340</f>
        <v>#VALUE!</v>
      </c>
      <c r="E340" t="e">
        <f>D340</f>
        <v>#VALUE!</v>
      </c>
      <c r="F340" s="10" t="str">
        <f>_xlfn.IFERROR(D340/B340,"n/a")</f>
        <v>n/a</v>
      </c>
      <c r="G340" s="10" t="e">
        <f>IF($I$5="",NA(),IF(F340="n/a",NA(),F340))</f>
        <v>#N/A</v>
      </c>
      <c r="N340" t="s">
        <v>818</v>
      </c>
      <c r="O340" t="e">
        <f>IF($B$5="","",R82)</f>
        <v>#N/A</v>
      </c>
      <c r="P340" t="e">
        <f>IF($B$5="","",R78)</f>
        <v>#N/A</v>
      </c>
      <c r="Q340" t="e">
        <f>O340-P340</f>
        <v>#N/A</v>
      </c>
      <c r="R340" t="e">
        <f>Q340</f>
        <v>#N/A</v>
      </c>
      <c r="S340" s="10" t="str">
        <f>_xlfn.IFERROR(Q340/O340,"n/a")</f>
        <v>n/a</v>
      </c>
      <c r="T340" s="10" t="e">
        <f>IF($B$5="",NA(),IF(S340="n/a",NA(),S340))</f>
        <v>#N/A</v>
      </c>
    </row>
    <row r="341" ht="15"/>
    <row r="342" ht="15"/>
    <row r="343" ht="15"/>
    <row r="344" ht="15"/>
    <row r="345" ht="15"/>
    <row r="346" ht="15"/>
    <row r="347" ht="15"/>
    <row r="348" ht="15"/>
    <row r="349" ht="15"/>
    <row r="350" ht="15"/>
    <row r="351" spans="9:23" ht="30">
      <c r="I351" s="34" t="s">
        <v>1001</v>
      </c>
      <c r="J351" s="35" t="s">
        <v>925</v>
      </c>
      <c r="V351" s="34" t="s">
        <v>1001</v>
      </c>
      <c r="W351" s="35" t="s">
        <v>925</v>
      </c>
    </row>
    <row r="352" spans="9:23" ht="15">
      <c r="I352" s="21" t="s">
        <v>923</v>
      </c>
      <c r="J352" s="22" t="str">
        <f>IF($I$5="","",E337&amp;" ("&amp;TEXT(F337,"0%")&amp;")")</f>
        <v/>
      </c>
      <c r="V352" s="21" t="s">
        <v>923</v>
      </c>
      <c r="W352" s="22" t="e">
        <f>IF($B$5="","",R337&amp;" ("&amp;TEXT(S337,"0%")&amp;")")</f>
        <v>#N/A</v>
      </c>
    </row>
    <row r="353" spans="9:23" ht="15">
      <c r="I353" s="21" t="s">
        <v>924</v>
      </c>
      <c r="J353" s="22" t="str">
        <f>IF($I$5="","",E338&amp;" ("&amp;TEXT(F338,"0%")&amp;")")</f>
        <v/>
      </c>
      <c r="V353" s="21" t="s">
        <v>924</v>
      </c>
      <c r="W353" s="22" t="e">
        <f>IF($B$5="","",R338&amp;" ("&amp;TEXT(S338,"0%")&amp;")")</f>
        <v>#N/A</v>
      </c>
    </row>
    <row r="354" spans="9:23" ht="15">
      <c r="I354" s="21" t="s">
        <v>817</v>
      </c>
      <c r="J354" s="22" t="str">
        <f>IF($I$5="","",E339&amp;" ("&amp;TEXT(F339,"0%")&amp;")")</f>
        <v/>
      </c>
      <c r="V354" s="21" t="s">
        <v>817</v>
      </c>
      <c r="W354" s="22" t="e">
        <f>IF($B$5="","",R339&amp;" ("&amp;TEXT(S339,"0%")&amp;")")</f>
        <v>#N/A</v>
      </c>
    </row>
    <row r="355" spans="9:23" ht="15">
      <c r="I355" s="21" t="s">
        <v>818</v>
      </c>
      <c r="J355" s="22" t="str">
        <f>IF($I$5="","",E340&amp;" ("&amp;TEXT(F340,"0%")&amp;")")</f>
        <v/>
      </c>
      <c r="V355" s="21" t="s">
        <v>818</v>
      </c>
      <c r="W355" s="22" t="e">
        <f>IF($B$5="","",R340&amp;" ("&amp;TEXT(S340,"0%")&amp;")")</f>
        <v>#N/A</v>
      </c>
    </row>
    <row r="356" ht="15"/>
    <row r="357" ht="15"/>
    <row r="358" spans="2:19" ht="15">
      <c r="B358" t="s">
        <v>891</v>
      </c>
      <c r="D358" t="s">
        <v>876</v>
      </c>
      <c r="E358" t="s">
        <v>894</v>
      </c>
      <c r="F358" t="s">
        <v>892</v>
      </c>
      <c r="O358" t="s">
        <v>891</v>
      </c>
      <c r="Q358" t="s">
        <v>876</v>
      </c>
      <c r="R358" t="s">
        <v>894</v>
      </c>
      <c r="S358" t="s">
        <v>892</v>
      </c>
    </row>
    <row r="359" spans="2:16" ht="15">
      <c r="B359" t="s">
        <v>913</v>
      </c>
      <c r="C359" t="s">
        <v>914</v>
      </c>
      <c r="O359" t="s">
        <v>913</v>
      </c>
      <c r="P359" t="s">
        <v>914</v>
      </c>
    </row>
    <row r="360" spans="1:19" ht="15">
      <c r="A360" t="s">
        <v>918</v>
      </c>
      <c r="B360" t="str">
        <f>IF($I$5="","",INDEX(ReportAndOutcomeHistory!180:180,MATCH($I$5,ReportAndOutcomeHistory!$1:$1,0)))</f>
        <v/>
      </c>
      <c r="C360" t="str">
        <f>IF($I$5="","",INDEX(ReportAndOutcomeHistory!185:185,MATCH($I$5,ReportAndOutcomeHistory!$1:$1,0)))</f>
        <v/>
      </c>
      <c r="D360" t="str">
        <f>C360</f>
        <v/>
      </c>
      <c r="E360" s="10" t="str">
        <f>_xlfn.IFERROR(C360/B360,"n/a")</f>
        <v>n/a</v>
      </c>
      <c r="F360" s="10" t="e">
        <f>IF($I$5="",NA(),IF(OR(E360="",E360="n/a"),NA(),E360))</f>
        <v>#N/A</v>
      </c>
      <c r="N360" t="s">
        <v>918</v>
      </c>
      <c r="O360" t="e">
        <f>IF($B$5="","",INDEX(ReportAndOutcomeHistory!345:345,MATCH($B$5,ReportAndOutcomeHistory!$1:$1,0)))</f>
        <v>#N/A</v>
      </c>
      <c r="P360" t="e">
        <f>IF($B$5="","",INDEX(ReportAndOutcomeHistory!350:350,MATCH($B$5,ReportAndOutcomeHistory!$1:$1,0)))</f>
        <v>#N/A</v>
      </c>
      <c r="Q360" t="e">
        <f>P360</f>
        <v>#N/A</v>
      </c>
      <c r="R360" s="10" t="str">
        <f>_xlfn.IFERROR(P360/O360,"n/a")</f>
        <v>n/a</v>
      </c>
      <c r="S360" s="10" t="e">
        <f>IF($B$5="",NA(),IF(OR(R360="",R360="n/a"),NA(),R360))</f>
        <v>#N/A</v>
      </c>
    </row>
    <row r="361" spans="1:19" ht="15">
      <c r="A361" t="s">
        <v>915</v>
      </c>
      <c r="B361" t="str">
        <f>IF($I$5="","",INDEX(ReportAndOutcomeHistory!181:181,MATCH($I$5,ReportAndOutcomeHistory!$1:$1,0)))</f>
        <v/>
      </c>
      <c r="C361" t="str">
        <f>IF($I$5="","",INDEX(ReportAndOutcomeHistory!186:186,MATCH($I$5,ReportAndOutcomeHistory!$1:$1,0)))</f>
        <v/>
      </c>
      <c r="D361" t="str">
        <f>C361</f>
        <v/>
      </c>
      <c r="E361" s="10" t="str">
        <f>_xlfn.IFERROR(C361/B361,"n/a")</f>
        <v>n/a</v>
      </c>
      <c r="F361" s="10" t="e">
        <f>IF($I$5="",NA(),IF(OR(E361="",E361="n/a"),NA(),E361))</f>
        <v>#N/A</v>
      </c>
      <c r="N361" t="s">
        <v>915</v>
      </c>
      <c r="O361" t="e">
        <f>IF($B$5="","",INDEX(ReportAndOutcomeHistory!346:346,MATCH($B$5,ReportAndOutcomeHistory!$1:$1,0)))</f>
        <v>#N/A</v>
      </c>
      <c r="P361" t="e">
        <f>IF($B$5="","",INDEX(ReportAndOutcomeHistory!351:351,MATCH($B$5,ReportAndOutcomeHistory!$1:$1,0)))</f>
        <v>#N/A</v>
      </c>
      <c r="Q361" t="e">
        <f>P361</f>
        <v>#N/A</v>
      </c>
      <c r="R361" s="10" t="str">
        <f>_xlfn.IFERROR(P361/O361,"n/a")</f>
        <v>n/a</v>
      </c>
      <c r="S361" s="10" t="e">
        <f>IF($B$5="",NA(),IF(OR(R361="",R361="n/a"),NA(),R361))</f>
        <v>#N/A</v>
      </c>
    </row>
    <row r="362" spans="1:19" ht="15">
      <c r="A362" t="s">
        <v>916</v>
      </c>
      <c r="B362" t="str">
        <f>IF($I$5="","",INDEX(ReportAndOutcomeHistory!182:182,MATCH($I$5,ReportAndOutcomeHistory!$1:$1,0)))</f>
        <v/>
      </c>
      <c r="C362" t="str">
        <f>IF($I$5="","",INDEX(ReportAndOutcomeHistory!187:187,MATCH($I$5,ReportAndOutcomeHistory!$1:$1,0)))</f>
        <v/>
      </c>
      <c r="D362" t="str">
        <f>C362</f>
        <v/>
      </c>
      <c r="E362" s="10" t="str">
        <f>_xlfn.IFERROR(C362/B362,"n/a")</f>
        <v>n/a</v>
      </c>
      <c r="F362" s="10" t="e">
        <f>IF($I$5="",NA(),IF(OR(E362="",E362="n/a"),NA(),E362))</f>
        <v>#N/A</v>
      </c>
      <c r="N362" t="s">
        <v>916</v>
      </c>
      <c r="O362" t="e">
        <f>IF($B$5="","",INDEX(ReportAndOutcomeHistory!347:347,MATCH($B$5,ReportAndOutcomeHistory!$1:$1,0)))</f>
        <v>#N/A</v>
      </c>
      <c r="P362" t="e">
        <f>IF($B$5="","",INDEX(ReportAndOutcomeHistory!352:352,MATCH($B$5,ReportAndOutcomeHistory!$1:$1,0)))</f>
        <v>#N/A</v>
      </c>
      <c r="Q362" t="e">
        <f>P362</f>
        <v>#N/A</v>
      </c>
      <c r="R362" s="10" t="str">
        <f>_xlfn.IFERROR(P362/O362,"n/a")</f>
        <v>n/a</v>
      </c>
      <c r="S362" s="10" t="e">
        <f>IF($B$5="",NA(),IF(OR(R362="",R362="n/a"),NA(),R362))</f>
        <v>#N/A</v>
      </c>
    </row>
    <row r="363" spans="1:19" ht="15">
      <c r="A363" t="s">
        <v>917</v>
      </c>
      <c r="B363" t="str">
        <f>IF($I$5="","",INDEX(ReportAndOutcomeHistory!183:183,MATCH($I$5,ReportAndOutcomeHistory!$1:$1,0)))</f>
        <v/>
      </c>
      <c r="C363" t="str">
        <f>IF($I$5="","",INDEX(ReportAndOutcomeHistory!188:188,MATCH($I$5,ReportAndOutcomeHistory!$1:$1,0)))</f>
        <v/>
      </c>
      <c r="D363" t="str">
        <f>C363</f>
        <v/>
      </c>
      <c r="E363" s="10" t="str">
        <f>_xlfn.IFERROR(C363/B363,"n/a")</f>
        <v>n/a</v>
      </c>
      <c r="F363" s="10" t="e">
        <f>IF($I$5="",NA(),IF(OR(E363="",E363="n/a"),NA(),E363))</f>
        <v>#N/A</v>
      </c>
      <c r="N363" t="s">
        <v>917</v>
      </c>
      <c r="O363" t="e">
        <f>IF($B$5="","",INDEX(ReportAndOutcomeHistory!348:348,MATCH($B$5,ReportAndOutcomeHistory!$1:$1,0)))</f>
        <v>#N/A</v>
      </c>
      <c r="P363" t="e">
        <f>IF($B$5="","",INDEX(ReportAndOutcomeHistory!353:353,MATCH($B$5,ReportAndOutcomeHistory!$1:$1,0)))</f>
        <v>#N/A</v>
      </c>
      <c r="Q363" t="e">
        <f>P363</f>
        <v>#N/A</v>
      </c>
      <c r="R363" s="10" t="str">
        <f>_xlfn.IFERROR(P363/O363,"n/a")</f>
        <v>n/a</v>
      </c>
      <c r="S363" s="10" t="e">
        <f>IF($B$5="",NA(),IF(OR(R363="",R363="n/a"),NA(),R363))</f>
        <v>#N/A</v>
      </c>
    </row>
    <row r="364" spans="1:19" ht="15">
      <c r="A364" t="s">
        <v>27</v>
      </c>
      <c r="B364" t="str">
        <f>IF($I$5="","",INDEX(ReportAndOutcomeHistory!184:184,MATCH($I$5,ReportAndOutcomeHistory!$1:$1,0)))</f>
        <v/>
      </c>
      <c r="C364" t="str">
        <f>IF($I$5="","",INDEX(ReportAndOutcomeHistory!189:189,MATCH($I$5,ReportAndOutcomeHistory!$1:$1,0)))</f>
        <v/>
      </c>
      <c r="D364" t="str">
        <f>C364</f>
        <v/>
      </c>
      <c r="E364" s="10" t="str">
        <f>_xlfn.IFERROR(C364/B364,"n/a")</f>
        <v>n/a</v>
      </c>
      <c r="F364" s="10" t="e">
        <f>IF($I$5="",NA(),IF(OR(E364="",E364="n/a"),NA(),E364))</f>
        <v>#N/A</v>
      </c>
      <c r="N364" t="s">
        <v>27</v>
      </c>
      <c r="O364" t="e">
        <f>IF($B$5="","",INDEX(ReportAndOutcomeHistory!349:349,MATCH($B$5,ReportAndOutcomeHistory!$1:$1,0)))</f>
        <v>#N/A</v>
      </c>
      <c r="P364" t="e">
        <f>IF($B$5="","",INDEX(ReportAndOutcomeHistory!354:354,MATCH($B$5,ReportAndOutcomeHistory!$1:$1,0)))</f>
        <v>#N/A</v>
      </c>
      <c r="Q364" t="e">
        <f>P364</f>
        <v>#N/A</v>
      </c>
      <c r="R364" s="10" t="str">
        <f>_xlfn.IFERROR(P364/O364,"n/a")</f>
        <v>n/a</v>
      </c>
      <c r="S364" s="10" t="e">
        <f>IF($B$5="",NA(),IF(OR(R364="",R364="n/a"),NA(),R364))</f>
        <v>#N/A</v>
      </c>
    </row>
    <row r="365" ht="15"/>
    <row r="366" ht="15"/>
    <row r="367" ht="15"/>
    <row r="368" ht="15"/>
    <row r="369" ht="15"/>
    <row r="370" ht="15"/>
    <row r="371" ht="15"/>
    <row r="372" ht="15"/>
    <row r="373" ht="15"/>
    <row r="374" spans="9:23" ht="30">
      <c r="I374" s="34" t="s">
        <v>836</v>
      </c>
      <c r="J374" s="35" t="s">
        <v>914</v>
      </c>
      <c r="V374" s="34" t="s">
        <v>836</v>
      </c>
      <c r="W374" s="35" t="s">
        <v>914</v>
      </c>
    </row>
    <row r="375" spans="9:23" ht="15">
      <c r="I375" s="21" t="s">
        <v>918</v>
      </c>
      <c r="J375" s="22" t="str">
        <f>IF($I$5="","",D360&amp;" ("&amp;TEXT(E360,"0%")&amp;")")</f>
        <v/>
      </c>
      <c r="V375" s="21" t="s">
        <v>918</v>
      </c>
      <c r="W375" s="22" t="e">
        <f>IF($B$5="","",Q360&amp;" ("&amp;TEXT(R360,"0%")&amp;")")</f>
        <v>#N/A</v>
      </c>
    </row>
    <row r="376" spans="9:23" ht="15">
      <c r="I376" s="21" t="s">
        <v>915</v>
      </c>
      <c r="J376" s="22" t="str">
        <f>IF($I$5="","",D361&amp;" ("&amp;TEXT(E361,"0%")&amp;")")</f>
        <v/>
      </c>
      <c r="V376" s="21" t="s">
        <v>915</v>
      </c>
      <c r="W376" s="22" t="e">
        <f>IF($B$5="","",Q361&amp;" ("&amp;TEXT(R361,"0%")&amp;")")</f>
        <v>#N/A</v>
      </c>
    </row>
    <row r="377" spans="9:23" ht="15">
      <c r="I377" s="21" t="s">
        <v>916</v>
      </c>
      <c r="J377" s="22" t="str">
        <f>IF($I$5="","",D362&amp;" ("&amp;TEXT(E362,"0%")&amp;")")</f>
        <v/>
      </c>
      <c r="V377" s="21" t="s">
        <v>916</v>
      </c>
      <c r="W377" s="22" t="e">
        <f>IF($B$5="","",Q362&amp;" ("&amp;TEXT(R362,"0%")&amp;")")</f>
        <v>#N/A</v>
      </c>
    </row>
    <row r="378" spans="9:23" ht="15">
      <c r="I378" s="21" t="s">
        <v>917</v>
      </c>
      <c r="J378" s="22" t="str">
        <f>IF($I$5="","",D363&amp;" ("&amp;TEXT(E363,"0%")&amp;")")</f>
        <v/>
      </c>
      <c r="V378" s="21" t="s">
        <v>917</v>
      </c>
      <c r="W378" s="22" t="e">
        <f>IF($B$5="","",Q363&amp;" ("&amp;TEXT(R363,"0%")&amp;")")</f>
        <v>#N/A</v>
      </c>
    </row>
    <row r="379" spans="9:23" ht="15">
      <c r="I379" s="21" t="s">
        <v>27</v>
      </c>
      <c r="J379" s="22" t="str">
        <f>IF($I$5="","",D364&amp;" ("&amp;TEXT(E364,"0%")&amp;")")</f>
        <v/>
      </c>
      <c r="V379" s="21" t="s">
        <v>27</v>
      </c>
      <c r="W379" s="22" t="e">
        <f>IF($B$5="","",Q364&amp;" ("&amp;TEXT(R364,"0%")&amp;")")</f>
        <v>#N/A</v>
      </c>
    </row>
    <row r="380" ht="15"/>
    <row r="381" spans="2:19" ht="15">
      <c r="B381" t="s">
        <v>891</v>
      </c>
      <c r="D381" t="s">
        <v>876</v>
      </c>
      <c r="E381" t="s">
        <v>894</v>
      </c>
      <c r="F381" t="s">
        <v>892</v>
      </c>
      <c r="O381" t="s">
        <v>891</v>
      </c>
      <c r="Q381" t="s">
        <v>876</v>
      </c>
      <c r="R381" t="s">
        <v>894</v>
      </c>
      <c r="S381" t="s">
        <v>892</v>
      </c>
    </row>
    <row r="382" spans="2:16" ht="15">
      <c r="B382" t="s">
        <v>913</v>
      </c>
      <c r="C382" t="s">
        <v>914</v>
      </c>
      <c r="O382" t="s">
        <v>913</v>
      </c>
      <c r="P382" t="s">
        <v>914</v>
      </c>
    </row>
    <row r="383" spans="1:19" ht="15">
      <c r="A383" t="s">
        <v>34</v>
      </c>
      <c r="B383" t="str">
        <f>IF($I$5="","",INDEX(ReportAndOutcomeHistory!190:190,MATCH($I$5,ReportAndOutcomeHistory!$1:$1,0)))</f>
        <v/>
      </c>
      <c r="C383" t="str">
        <f>IF($I$5="","",INDEX(ReportAndOutcomeHistory!199:199,MATCH($I$5,ReportAndOutcomeHistory!$1:$1,0)))</f>
        <v/>
      </c>
      <c r="D383" t="str">
        <f>C383</f>
        <v/>
      </c>
      <c r="E383" s="10" t="str">
        <f>_xlfn.IFERROR(C383/B383,"n/a")</f>
        <v>n/a</v>
      </c>
      <c r="F383" s="10" t="e">
        <f aca="true" t="shared" si="67" ref="F383:F391">IF(OR(E383="",E383="n/a"),NA(),E383)</f>
        <v>#N/A</v>
      </c>
      <c r="N383" t="s">
        <v>34</v>
      </c>
      <c r="O383" t="e">
        <f>IF($B$5="","",INDEX(ReportAndOutcomeHistory!355:355,MATCH($B$5,ReportAndOutcomeHistory!$1:$1,0)))</f>
        <v>#N/A</v>
      </c>
      <c r="P383" t="e">
        <f>IF($B$5="","",INDEX(ReportAndOutcomeHistory!364:364,MATCH($B$5,ReportAndOutcomeHistory!$1:$1,0)))</f>
        <v>#N/A</v>
      </c>
      <c r="Q383" t="e">
        <f aca="true" t="shared" si="68" ref="Q383:Q391">P383</f>
        <v>#N/A</v>
      </c>
      <c r="R383" s="10" t="str">
        <f aca="true" t="shared" si="69" ref="R383:R391">_xlfn.IFERROR(P383/O383,"n/a")</f>
        <v>n/a</v>
      </c>
      <c r="S383" s="10" t="e">
        <f aca="true" t="shared" si="70" ref="S383:S391">IF(OR(R383="",R383="n/a"),NA(),R383)</f>
        <v>#N/A</v>
      </c>
    </row>
    <row r="384" spans="1:19" ht="15">
      <c r="A384" t="s">
        <v>54</v>
      </c>
      <c r="B384" t="str">
        <f>IF($I$5="","",INDEX(ReportAndOutcomeHistory!191:191,MATCH($I$5,ReportAndOutcomeHistory!$1:$1,0)))</f>
        <v/>
      </c>
      <c r="C384" t="str">
        <f>IF($I$5="","",INDEX(ReportAndOutcomeHistory!200:200,MATCH($I$5,ReportAndOutcomeHistory!$1:$1,0)))</f>
        <v/>
      </c>
      <c r="D384" t="str">
        <f aca="true" t="shared" si="71" ref="D384:D391">C384</f>
        <v/>
      </c>
      <c r="E384" s="10" t="str">
        <f aca="true" t="shared" si="72" ref="E384:E391">_xlfn.IFERROR(C384/B384,"n/a")</f>
        <v>n/a</v>
      </c>
      <c r="F384" s="10" t="e">
        <f t="shared" si="67"/>
        <v>#N/A</v>
      </c>
      <c r="N384" t="s">
        <v>54</v>
      </c>
      <c r="O384" t="e">
        <f>IF($B$5="","",INDEX(ReportAndOutcomeHistory!356:356,MATCH($B$5,ReportAndOutcomeHistory!$1:$1,0)))</f>
        <v>#N/A</v>
      </c>
      <c r="P384" t="e">
        <f>IF($B$5="","",INDEX(ReportAndOutcomeHistory!365:365,MATCH($B$5,ReportAndOutcomeHistory!$1:$1,0)))</f>
        <v>#N/A</v>
      </c>
      <c r="Q384" t="e">
        <f t="shared" si="68"/>
        <v>#N/A</v>
      </c>
      <c r="R384" s="10" t="str">
        <f t="shared" si="69"/>
        <v>n/a</v>
      </c>
      <c r="S384" s="10" t="e">
        <f t="shared" si="70"/>
        <v>#N/A</v>
      </c>
    </row>
    <row r="385" spans="1:19" ht="15">
      <c r="A385" t="s">
        <v>55</v>
      </c>
      <c r="B385" t="str">
        <f>IF($I$5="","",INDEX(ReportAndOutcomeHistory!192:192,MATCH($I$5,ReportAndOutcomeHistory!$1:$1,0)))</f>
        <v/>
      </c>
      <c r="C385" t="str">
        <f>IF($I$5="","",INDEX(ReportAndOutcomeHistory!201:201,MATCH($I$5,ReportAndOutcomeHistory!$1:$1,0)))</f>
        <v/>
      </c>
      <c r="D385" t="str">
        <f t="shared" si="71"/>
        <v/>
      </c>
      <c r="E385" s="10" t="str">
        <f t="shared" si="72"/>
        <v>n/a</v>
      </c>
      <c r="F385" s="10" t="e">
        <f t="shared" si="67"/>
        <v>#N/A</v>
      </c>
      <c r="N385" t="s">
        <v>55</v>
      </c>
      <c r="O385" t="e">
        <f>IF($B$5="","",INDEX(ReportAndOutcomeHistory!357:357,MATCH($B$5,ReportAndOutcomeHistory!$1:$1,0)))</f>
        <v>#N/A</v>
      </c>
      <c r="P385" t="e">
        <f>IF($B$5="","",INDEX(ReportAndOutcomeHistory!366:366,MATCH($B$5,ReportAndOutcomeHistory!$1:$1,0)))</f>
        <v>#N/A</v>
      </c>
      <c r="Q385" t="e">
        <f t="shared" si="68"/>
        <v>#N/A</v>
      </c>
      <c r="R385" s="10" t="str">
        <f t="shared" si="69"/>
        <v>n/a</v>
      </c>
      <c r="S385" s="10" t="e">
        <f t="shared" si="70"/>
        <v>#N/A</v>
      </c>
    </row>
    <row r="386" spans="1:19" ht="15">
      <c r="A386" t="s">
        <v>56</v>
      </c>
      <c r="B386" t="str">
        <f>IF($I$5="","",INDEX(ReportAndOutcomeHistory!193:193,MATCH($I$5,ReportAndOutcomeHistory!$1:$1,0)))</f>
        <v/>
      </c>
      <c r="C386" t="str">
        <f>IF($I$5="","",INDEX(ReportAndOutcomeHistory!202:202,MATCH($I$5,ReportAndOutcomeHistory!$1:$1,0)))</f>
        <v/>
      </c>
      <c r="D386" t="str">
        <f t="shared" si="71"/>
        <v/>
      </c>
      <c r="E386" s="10" t="str">
        <f t="shared" si="72"/>
        <v>n/a</v>
      </c>
      <c r="F386" s="10" t="e">
        <f t="shared" si="67"/>
        <v>#N/A</v>
      </c>
      <c r="N386" t="s">
        <v>56</v>
      </c>
      <c r="O386" t="e">
        <f>IF($B$5="","",INDEX(ReportAndOutcomeHistory!358:358,MATCH($B$5,ReportAndOutcomeHistory!$1:$1,0)))</f>
        <v>#N/A</v>
      </c>
      <c r="P386" t="e">
        <f>IF($B$5="","",INDEX(ReportAndOutcomeHistory!367:367,MATCH($B$5,ReportAndOutcomeHistory!$1:$1,0)))</f>
        <v>#N/A</v>
      </c>
      <c r="Q386" t="e">
        <f t="shared" si="68"/>
        <v>#N/A</v>
      </c>
      <c r="R386" s="10" t="str">
        <f t="shared" si="69"/>
        <v>n/a</v>
      </c>
      <c r="S386" s="10" t="e">
        <f t="shared" si="70"/>
        <v>#N/A</v>
      </c>
    </row>
    <row r="387" spans="1:19" ht="15">
      <c r="A387" t="s">
        <v>57</v>
      </c>
      <c r="B387" t="str">
        <f>IF($I$5="","",INDEX(ReportAndOutcomeHistory!194:194,MATCH($I$5,ReportAndOutcomeHistory!$1:$1,0)))</f>
        <v/>
      </c>
      <c r="C387" t="str">
        <f>IF($I$5="","",INDEX(ReportAndOutcomeHistory!203:203,MATCH($I$5,ReportAndOutcomeHistory!$1:$1,0)))</f>
        <v/>
      </c>
      <c r="D387" t="str">
        <f t="shared" si="71"/>
        <v/>
      </c>
      <c r="E387" s="10" t="str">
        <f t="shared" si="72"/>
        <v>n/a</v>
      </c>
      <c r="F387" s="10" t="e">
        <f t="shared" si="67"/>
        <v>#N/A</v>
      </c>
      <c r="N387" t="s">
        <v>57</v>
      </c>
      <c r="O387" t="e">
        <f>IF($B$5="","",INDEX(ReportAndOutcomeHistory!359:359,MATCH($B$5,ReportAndOutcomeHistory!$1:$1,0)))</f>
        <v>#N/A</v>
      </c>
      <c r="P387" t="e">
        <f>IF($B$5="","",INDEX(ReportAndOutcomeHistory!368:368,MATCH($B$5,ReportAndOutcomeHistory!$1:$1,0)))</f>
        <v>#N/A</v>
      </c>
      <c r="Q387" t="e">
        <f t="shared" si="68"/>
        <v>#N/A</v>
      </c>
      <c r="R387" s="10" t="str">
        <f t="shared" si="69"/>
        <v>n/a</v>
      </c>
      <c r="S387" s="10" t="e">
        <f t="shared" si="70"/>
        <v>#N/A</v>
      </c>
    </row>
    <row r="388" spans="1:19" ht="15">
      <c r="A388" t="s">
        <v>58</v>
      </c>
      <c r="B388" t="str">
        <f>IF($I$5="","",INDEX(ReportAndOutcomeHistory!195:195,MATCH($I$5,ReportAndOutcomeHistory!$1:$1,0)))</f>
        <v/>
      </c>
      <c r="C388" t="str">
        <f>IF($I$5="","",INDEX(ReportAndOutcomeHistory!204:204,MATCH($I$5,ReportAndOutcomeHistory!$1:$1,0)))</f>
        <v/>
      </c>
      <c r="D388" t="str">
        <f t="shared" si="71"/>
        <v/>
      </c>
      <c r="E388" s="10" t="str">
        <f t="shared" si="72"/>
        <v>n/a</v>
      </c>
      <c r="F388" s="10" t="e">
        <f t="shared" si="67"/>
        <v>#N/A</v>
      </c>
      <c r="N388" t="s">
        <v>58</v>
      </c>
      <c r="O388" t="e">
        <f>IF($B$5="","",INDEX(ReportAndOutcomeHistory!360:360,MATCH($B$5,ReportAndOutcomeHistory!$1:$1,0)))</f>
        <v>#N/A</v>
      </c>
      <c r="P388" t="e">
        <f>IF($B$5="","",INDEX(ReportAndOutcomeHistory!369:369,MATCH($B$5,ReportAndOutcomeHistory!$1:$1,0)))</f>
        <v>#N/A</v>
      </c>
      <c r="Q388" t="e">
        <f t="shared" si="68"/>
        <v>#N/A</v>
      </c>
      <c r="R388" s="10" t="str">
        <f t="shared" si="69"/>
        <v>n/a</v>
      </c>
      <c r="S388" s="10" t="e">
        <f t="shared" si="70"/>
        <v>#N/A</v>
      </c>
    </row>
    <row r="389" spans="1:19" ht="15">
      <c r="A389" t="s">
        <v>59</v>
      </c>
      <c r="B389" t="str">
        <f>IF($I$5="","",INDEX(ReportAndOutcomeHistory!196:196,MATCH($I$5,ReportAndOutcomeHistory!$1:$1,0)))</f>
        <v/>
      </c>
      <c r="C389" t="str">
        <f>IF($I$5="","",INDEX(ReportAndOutcomeHistory!205:205,MATCH($I$5,ReportAndOutcomeHistory!$1:$1,0)))</f>
        <v/>
      </c>
      <c r="D389" t="str">
        <f t="shared" si="71"/>
        <v/>
      </c>
      <c r="E389" s="10" t="str">
        <f t="shared" si="72"/>
        <v>n/a</v>
      </c>
      <c r="F389" s="10" t="e">
        <f t="shared" si="67"/>
        <v>#N/A</v>
      </c>
      <c r="N389" t="s">
        <v>59</v>
      </c>
      <c r="O389" t="e">
        <f>IF($B$5="","",INDEX(ReportAndOutcomeHistory!361:361,MATCH($B$5,ReportAndOutcomeHistory!$1:$1,0)))</f>
        <v>#N/A</v>
      </c>
      <c r="P389" t="e">
        <f>IF($B$5="","",INDEX(ReportAndOutcomeHistory!370:370,MATCH($B$5,ReportAndOutcomeHistory!$1:$1,0)))</f>
        <v>#N/A</v>
      </c>
      <c r="Q389" t="e">
        <f t="shared" si="68"/>
        <v>#N/A</v>
      </c>
      <c r="R389" s="10" t="str">
        <f t="shared" si="69"/>
        <v>n/a</v>
      </c>
      <c r="S389" s="10" t="e">
        <f t="shared" si="70"/>
        <v>#N/A</v>
      </c>
    </row>
    <row r="390" spans="1:19" ht="15">
      <c r="A390" t="s">
        <v>60</v>
      </c>
      <c r="B390" t="str">
        <f>IF($I$5="","",INDEX(ReportAndOutcomeHistory!197:197,MATCH($I$5,ReportAndOutcomeHistory!$1:$1,0)))</f>
        <v/>
      </c>
      <c r="C390" t="str">
        <f>IF($I$5="","",INDEX(ReportAndOutcomeHistory!206:206,MATCH($I$5,ReportAndOutcomeHistory!$1:$1,0)))</f>
        <v/>
      </c>
      <c r="D390" t="str">
        <f t="shared" si="71"/>
        <v/>
      </c>
      <c r="E390" s="10" t="str">
        <f t="shared" si="72"/>
        <v>n/a</v>
      </c>
      <c r="F390" s="10" t="e">
        <f t="shared" si="67"/>
        <v>#N/A</v>
      </c>
      <c r="N390" t="s">
        <v>60</v>
      </c>
      <c r="O390" t="e">
        <f>IF($B$5="","",INDEX(ReportAndOutcomeHistory!362:362,MATCH($B$5,ReportAndOutcomeHistory!$1:$1,0)))</f>
        <v>#N/A</v>
      </c>
      <c r="P390" t="e">
        <f>IF($B$5="","",INDEX(ReportAndOutcomeHistory!371:371,MATCH($B$5,ReportAndOutcomeHistory!$1:$1,0)))</f>
        <v>#N/A</v>
      </c>
      <c r="Q390" t="e">
        <f t="shared" si="68"/>
        <v>#N/A</v>
      </c>
      <c r="R390" s="10" t="str">
        <f t="shared" si="69"/>
        <v>n/a</v>
      </c>
      <c r="S390" s="10" t="e">
        <f t="shared" si="70"/>
        <v>#N/A</v>
      </c>
    </row>
    <row r="391" spans="1:19" ht="15">
      <c r="A391" t="s">
        <v>919</v>
      </c>
      <c r="B391" t="str">
        <f>IF($I$5="","",INDEX(ReportAndOutcomeHistory!198:198,MATCH($I$5,ReportAndOutcomeHistory!$1:$1,0)))</f>
        <v/>
      </c>
      <c r="C391" t="str">
        <f>IF($I$5="","",INDEX(ReportAndOutcomeHistory!207:207,MATCH($I$5,ReportAndOutcomeHistory!$1:$1,0)))</f>
        <v/>
      </c>
      <c r="D391" t="str">
        <f t="shared" si="71"/>
        <v/>
      </c>
      <c r="E391" s="10" t="str">
        <f t="shared" si="72"/>
        <v>n/a</v>
      </c>
      <c r="F391" s="10" t="e">
        <f t="shared" si="67"/>
        <v>#N/A</v>
      </c>
      <c r="N391" t="s">
        <v>919</v>
      </c>
      <c r="O391" t="e">
        <f>IF($B$5="","",INDEX(ReportAndOutcomeHistory!363:363,MATCH($B$5,ReportAndOutcomeHistory!$1:$1,0)))</f>
        <v>#N/A</v>
      </c>
      <c r="P391" t="e">
        <f>IF($B$5="","",INDEX(ReportAndOutcomeHistory!372:372,MATCH($B$5,ReportAndOutcomeHistory!$1:$1,0)))</f>
        <v>#N/A</v>
      </c>
      <c r="Q391" t="e">
        <f t="shared" si="68"/>
        <v>#N/A</v>
      </c>
      <c r="R391" s="10" t="str">
        <f t="shared" si="69"/>
        <v>n/a</v>
      </c>
      <c r="S391" s="10" t="e">
        <f t="shared" si="70"/>
        <v>#N/A</v>
      </c>
    </row>
    <row r="392" ht="15"/>
    <row r="393" ht="15"/>
    <row r="394" ht="15"/>
    <row r="395" ht="15"/>
    <row r="396" ht="15"/>
    <row r="397" ht="15"/>
    <row r="398" spans="9:23" ht="45">
      <c r="I398" s="34" t="s">
        <v>828</v>
      </c>
      <c r="J398" s="35" t="s">
        <v>920</v>
      </c>
      <c r="V398" s="34" t="s">
        <v>828</v>
      </c>
      <c r="W398" s="35" t="s">
        <v>920</v>
      </c>
    </row>
    <row r="399" spans="9:23" ht="15">
      <c r="I399" s="21" t="s">
        <v>34</v>
      </c>
      <c r="J399" s="22" t="str">
        <f>IF($I$5="","",D383&amp;" ("&amp;TEXT(E383,"0%")&amp;")")</f>
        <v/>
      </c>
      <c r="V399" s="21" t="s">
        <v>34</v>
      </c>
      <c r="W399" s="22" t="e">
        <f aca="true" t="shared" si="73" ref="W399:W407">IF($B$5="","",Q383&amp;" ("&amp;TEXT(R383,"0%")&amp;")")</f>
        <v>#N/A</v>
      </c>
    </row>
    <row r="400" spans="9:23" ht="15">
      <c r="I400" s="21" t="s">
        <v>54</v>
      </c>
      <c r="J400" s="22" t="str">
        <f aca="true" t="shared" si="74" ref="J400:J407">IF($I$5="","",D384&amp;" ("&amp;TEXT(E384,"0%")&amp;")")</f>
        <v/>
      </c>
      <c r="V400" s="21" t="s">
        <v>54</v>
      </c>
      <c r="W400" s="22" t="e">
        <f t="shared" si="73"/>
        <v>#N/A</v>
      </c>
    </row>
    <row r="401" spans="9:23" ht="15">
      <c r="I401" s="21" t="s">
        <v>55</v>
      </c>
      <c r="J401" s="22" t="str">
        <f t="shared" si="74"/>
        <v/>
      </c>
      <c r="V401" s="21" t="s">
        <v>55</v>
      </c>
      <c r="W401" s="22" t="e">
        <f t="shared" si="73"/>
        <v>#N/A</v>
      </c>
    </row>
    <row r="402" spans="9:23" ht="15">
      <c r="I402" s="21" t="s">
        <v>56</v>
      </c>
      <c r="J402" s="22" t="str">
        <f t="shared" si="74"/>
        <v/>
      </c>
      <c r="V402" s="21" t="s">
        <v>56</v>
      </c>
      <c r="W402" s="22" t="e">
        <f t="shared" si="73"/>
        <v>#N/A</v>
      </c>
    </row>
    <row r="403" spans="9:23" ht="15">
      <c r="I403" s="21" t="s">
        <v>57</v>
      </c>
      <c r="J403" s="22" t="str">
        <f t="shared" si="74"/>
        <v/>
      </c>
      <c r="V403" s="21" t="s">
        <v>57</v>
      </c>
      <c r="W403" s="22" t="e">
        <f t="shared" si="73"/>
        <v>#N/A</v>
      </c>
    </row>
    <row r="404" spans="9:23" ht="15">
      <c r="I404" s="21" t="s">
        <v>58</v>
      </c>
      <c r="J404" s="22" t="str">
        <f t="shared" si="74"/>
        <v/>
      </c>
      <c r="V404" s="21" t="s">
        <v>58</v>
      </c>
      <c r="W404" s="22" t="e">
        <f t="shared" si="73"/>
        <v>#N/A</v>
      </c>
    </row>
    <row r="405" spans="9:23" ht="15">
      <c r="I405" s="21" t="s">
        <v>59</v>
      </c>
      <c r="J405" s="22" t="str">
        <f t="shared" si="74"/>
        <v/>
      </c>
      <c r="V405" s="21" t="s">
        <v>59</v>
      </c>
      <c r="W405" s="22" t="e">
        <f t="shared" si="73"/>
        <v>#N/A</v>
      </c>
    </row>
    <row r="406" spans="9:23" ht="15">
      <c r="I406" s="21" t="s">
        <v>60</v>
      </c>
      <c r="J406" s="22" t="str">
        <f t="shared" si="74"/>
        <v/>
      </c>
      <c r="V406" s="21" t="s">
        <v>60</v>
      </c>
      <c r="W406" s="22" t="e">
        <f t="shared" si="73"/>
        <v>#N/A</v>
      </c>
    </row>
    <row r="407" spans="9:23" ht="15">
      <c r="I407" s="21" t="s">
        <v>919</v>
      </c>
      <c r="J407" s="22" t="str">
        <f t="shared" si="74"/>
        <v/>
      </c>
      <c r="V407" s="21" t="s">
        <v>919</v>
      </c>
      <c r="W407" s="22" t="e">
        <f t="shared" si="73"/>
        <v>#N/A</v>
      </c>
    </row>
    <row r="408" ht="15"/>
    <row r="409" ht="15"/>
    <row r="410" ht="15" hidden="1"/>
    <row r="411" ht="15" hidden="1"/>
    <row r="412" ht="15" hidden="1"/>
    <row r="413" ht="15" hidden="1"/>
  </sheetData>
  <sheetProtection algorithmName="SHA-512" hashValue="fGL5nqa/rqGb092bFB4zmB7uEJJgRLkERKhryQFpwbyZYoWnqBnEqBHVVGBkY5MmkDZZQQdYGyAKrZydd+B6Gg==" saltValue="ErnWcJIDNZ2ZdDizO4A9rQ==" spinCount="100000" sheet="1" scenarios="1" sort="0" autoFilter="0"/>
  <mergeCells count="40">
    <mergeCell ref="V216:X216"/>
    <mergeCell ref="V230:W230"/>
    <mergeCell ref="V231:W231"/>
    <mergeCell ref="B335:D335"/>
    <mergeCell ref="I231:J231"/>
    <mergeCell ref="B232:D232"/>
    <mergeCell ref="I216:K216"/>
    <mergeCell ref="I230:J230"/>
    <mergeCell ref="I270:L270"/>
    <mergeCell ref="O232:Q232"/>
    <mergeCell ref="V270:Y270"/>
    <mergeCell ref="O335:Q335"/>
    <mergeCell ref="I229:J229"/>
    <mergeCell ref="V229:W229"/>
    <mergeCell ref="I17:K17"/>
    <mergeCell ref="I18:K18"/>
    <mergeCell ref="I28:L28"/>
    <mergeCell ref="I15:K16"/>
    <mergeCell ref="V215:X215"/>
    <mergeCell ref="I174:K174"/>
    <mergeCell ref="I214:K214"/>
    <mergeCell ref="I215:K215"/>
    <mergeCell ref="V174:X174"/>
    <mergeCell ref="V214:X214"/>
    <mergeCell ref="V28:Y28"/>
    <mergeCell ref="L15:W15"/>
    <mergeCell ref="L16:W16"/>
    <mergeCell ref="L17:W17"/>
    <mergeCell ref="I213:K213"/>
    <mergeCell ref="V213:X213"/>
    <mergeCell ref="I10:K10"/>
    <mergeCell ref="I11:K11"/>
    <mergeCell ref="I12:K12"/>
    <mergeCell ref="I13:K13"/>
    <mergeCell ref="I14:K14"/>
    <mergeCell ref="L10:W10"/>
    <mergeCell ref="L11:W11"/>
    <mergeCell ref="L12:W12"/>
    <mergeCell ref="L13:W13"/>
    <mergeCell ref="L14:W14"/>
  </mergeCells>
  <dataValidations count="1">
    <dataValidation type="list" allowBlank="1" showInputMessage="1" showErrorMessage="1" sqref="I5 B5">
      <formula1>rngSelectMonth</formula1>
    </dataValidation>
  </dataValidations>
  <hyperlinks>
    <hyperlink ref="I10" location="Reports!I45" display="Dementia &amp; Mental Health (MH) Diangoses"/>
    <hyperlink ref="I11" location="Reports!I68" display="Preferences &amp; Joys"/>
    <hyperlink ref="I12" location="Reports!I94" display="Psychotropic Medication (PTM) Orders by Diagnosis"/>
    <hyperlink ref="I13" location="Reports!I117" display="Multiple Psychotropic Medications (PTM) among those receiving PTM"/>
    <hyperlink ref="I14" location="Reports!I137" display="Psychotropic Medications (PTM) with At Least One Target Symptom Specified"/>
    <hyperlink ref="I15" location="Reports!I160" display="Top 10 Target Symptoms for Prescribing Psychotropic Medications for Individuals Living with Dementia"/>
    <hyperlink ref="I17" location="Reports!I192" display="Informed Choice"/>
    <hyperlink ref="I18" location="Reports!I213" display="Documentation &amp; Process Completion"/>
    <hyperlink ref="L10" location="Reports!I229" display="Strengths and Dislikes"/>
    <hyperlink ref="L11" location="Reports!I260" display="PRN Orders by Category of Psychotropic Medication"/>
    <hyperlink ref="L12" location="Reports!I287" display="Possible Adverse Consequences (AC) among Individuals on Psychotropic Medication"/>
    <hyperlink ref="L13" location="Reports!I309" display="Gradual Dose Reduction (GDR) Outcomes among GDRs Completed This Month or Still In Progress"/>
    <hyperlink ref="L14" location="Reports!I332" display="Documentation with GDR is Contraindicated"/>
    <hyperlink ref="L15" location="Reports!I351" display="Residents on Psychotropic Medication (PTM) by Diagnosis Type"/>
    <hyperlink ref="L16" location="Reports!I374" display="Residents on Psychotropic Medication Living with Dementia"/>
    <hyperlink ref="L17" location="Reports!I398" display="Residents on Psychotropic Medication with Mental Health Diagnosis"/>
    <hyperlink ref="I15:K16" location="Reports!I160" display="Top 10 Target Symptoms for Prescribing Psychotropic Medications for Individuals Living with Dementia"/>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50177" r:id="rId4" name="Button 1">
              <controlPr defaultSize="0" print="0" autoFill="0" autoPict="0" macro="[0]!Return_to_Home">
                <anchor moveWithCells="1">
                  <from>
                    <xdr:col>8</xdr:col>
                    <xdr:colOff>47625</xdr:colOff>
                    <xdr:row>0</xdr:row>
                    <xdr:rowOff>95250</xdr:rowOff>
                  </from>
                  <to>
                    <xdr:col>8</xdr:col>
                    <xdr:colOff>1876425</xdr:colOff>
                    <xdr:row>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B2:G70"/>
  <sheetViews>
    <sheetView showGridLines="0" showRowColHeaders="0" zoomScaleSheetLayoutView="100" workbookViewId="0" topLeftCell="A1">
      <selection activeCell="D5" sqref="D5"/>
    </sheetView>
  </sheetViews>
  <sheetFormatPr defaultColWidth="0" defaultRowHeight="15" customHeight="1" zeroHeight="1"/>
  <cols>
    <col min="1" max="1" width="1.421875" style="0" customWidth="1"/>
    <col min="2" max="2" width="4.00390625" style="0" customWidth="1"/>
    <col min="3" max="4" width="17.28125" style="0" customWidth="1"/>
    <col min="5" max="5" width="29.8515625" style="0" customWidth="1"/>
    <col min="6" max="7" width="12.00390625" style="12" customWidth="1"/>
    <col min="8" max="8" width="1.421875" style="0" customWidth="1"/>
    <col min="9" max="16384" width="9.140625" style="0" hidden="1" customWidth="1"/>
  </cols>
  <sheetData>
    <row r="1" ht="7.5" customHeight="1"/>
    <row r="2" spans="2:7" ht="44.25" customHeight="1" thickBot="1">
      <c r="B2" s="84" t="s">
        <v>42</v>
      </c>
      <c r="C2" s="84"/>
      <c r="D2" s="84"/>
      <c r="E2" s="84"/>
      <c r="F2" s="84"/>
      <c r="G2" s="84"/>
    </row>
    <row r="3" ht="7.5" customHeight="1"/>
    <row r="4" ht="15.75" customHeight="1">
      <c r="B4" t="s">
        <v>35</v>
      </c>
    </row>
    <row r="5" spans="2:7" ht="15.75" customHeight="1">
      <c r="B5" s="3" t="s">
        <v>43</v>
      </c>
      <c r="C5" s="4" t="s">
        <v>46</v>
      </c>
      <c r="D5" s="27"/>
      <c r="E5" s="4"/>
      <c r="F5" s="15"/>
      <c r="G5" s="15"/>
    </row>
    <row r="6" spans="2:7" s="7" customFormat="1" ht="15.75" customHeight="1" hidden="1">
      <c r="B6" s="5"/>
      <c r="C6" s="6" t="s">
        <v>471</v>
      </c>
      <c r="D6" s="6" t="e">
        <f>INDEX(ReportAndOutcomeHistory!$F$4:$Q$4,MATCH(DataForWebsiteEntry!$D$5,ReportAndOutcomeHistory!$F$1:$Q$1,0))</f>
        <v>#N/A</v>
      </c>
      <c r="E6" s="6"/>
      <c r="F6" s="16"/>
      <c r="G6" s="16"/>
    </row>
    <row r="7" spans="2:7" ht="15.75" customHeight="1">
      <c r="B7" s="3" t="s">
        <v>43</v>
      </c>
      <c r="C7" s="83" t="s">
        <v>837</v>
      </c>
      <c r="D7" s="83"/>
      <c r="E7" s="83"/>
      <c r="F7" s="83"/>
      <c r="G7" s="83"/>
    </row>
    <row r="8" spans="2:7" ht="60" customHeight="1" hidden="1">
      <c r="B8" s="3" t="s">
        <v>43</v>
      </c>
      <c r="C8" s="86" t="s">
        <v>847</v>
      </c>
      <c r="D8" s="86"/>
      <c r="E8" s="86"/>
      <c r="F8" s="86"/>
      <c r="G8" s="86"/>
    </row>
    <row r="9" spans="2:7" ht="15.75" customHeight="1">
      <c r="B9" s="3" t="s">
        <v>43</v>
      </c>
      <c r="C9" s="83" t="s">
        <v>36</v>
      </c>
      <c r="D9" s="83"/>
      <c r="E9" s="83"/>
      <c r="F9" s="83"/>
      <c r="G9" s="83"/>
    </row>
    <row r="10" spans="2:7" ht="18.75" customHeight="1">
      <c r="B10" s="42" t="s">
        <v>43</v>
      </c>
      <c r="C10" s="85" t="s">
        <v>37</v>
      </c>
      <c r="D10" s="85"/>
      <c r="E10" s="85"/>
      <c r="F10" s="85"/>
      <c r="G10" s="85"/>
    </row>
    <row r="11" spans="2:7" ht="15.75" customHeight="1">
      <c r="B11" s="3" t="s">
        <v>43</v>
      </c>
      <c r="C11" s="83" t="s">
        <v>969</v>
      </c>
      <c r="D11" s="83"/>
      <c r="E11" s="83"/>
      <c r="F11" s="83"/>
      <c r="G11" s="83"/>
    </row>
    <row r="12" spans="2:7" ht="15.75" customHeight="1">
      <c r="B12" s="3" t="s">
        <v>43</v>
      </c>
      <c r="C12" s="83" t="s">
        <v>38</v>
      </c>
      <c r="D12" s="83"/>
      <c r="E12" s="83"/>
      <c r="F12" s="83"/>
      <c r="G12" s="83"/>
    </row>
    <row r="13" spans="2:7" ht="15">
      <c r="B13" s="3" t="s">
        <v>43</v>
      </c>
      <c r="C13" s="83" t="s">
        <v>846</v>
      </c>
      <c r="D13" s="83"/>
      <c r="E13" s="83"/>
      <c r="F13" s="83"/>
      <c r="G13" s="83"/>
    </row>
    <row r="14" spans="2:7" ht="15.75" customHeight="1">
      <c r="B14" s="3" t="s">
        <v>43</v>
      </c>
      <c r="C14" s="83" t="s">
        <v>39</v>
      </c>
      <c r="D14" s="83"/>
      <c r="E14" s="83"/>
      <c r="F14" s="83"/>
      <c r="G14" s="83"/>
    </row>
    <row r="15" ht="15"/>
    <row r="16" spans="6:7" ht="15">
      <c r="F16" s="19" t="s">
        <v>41</v>
      </c>
      <c r="G16" s="19" t="s">
        <v>40</v>
      </c>
    </row>
    <row r="17" spans="2:7" s="13" customFormat="1" ht="21" customHeight="1">
      <c r="B17" s="81" t="s">
        <v>383</v>
      </c>
      <c r="C17" s="81"/>
      <c r="D17" s="81"/>
      <c r="E17" s="81"/>
      <c r="F17" s="17" t="str">
        <f>IF($D$5="","",INDEX(ReportAndOutcomeHistory!$F$6:$Q$6,MATCH($D$5,ReportAndOutcomeHistory!$F$1:$Q$1,0)))</f>
        <v/>
      </c>
      <c r="G17" s="17" t="str">
        <f>IF($D$5="","",INDEX(ReportAndOutcomeHistory!$F$29:$Q$29,MATCH($D$5,ReportAndOutcomeHistory!$F$1:$Q$1,0)))</f>
        <v/>
      </c>
    </row>
    <row r="18" spans="2:7" s="13" customFormat="1" ht="36.75" customHeight="1">
      <c r="B18" s="81" t="s">
        <v>943</v>
      </c>
      <c r="C18" s="81"/>
      <c r="D18" s="81"/>
      <c r="E18" s="81"/>
      <c r="F18" s="17" t="str">
        <f>IF($D$5="","",INDEX(ReportAndOutcomeHistory!$F$7:$Q$7,MATCH($D$5,ReportAndOutcomeHistory!$F$1:$Q$1,0)))</f>
        <v/>
      </c>
      <c r="G18" s="17" t="str">
        <f>IF($D$5="","",INDEX(ReportAndOutcomeHistory!$F$30:$Q$30,MATCH($D$5,ReportAndOutcomeHistory!$F$1:$Q$1,0)))</f>
        <v/>
      </c>
    </row>
    <row r="19" spans="2:7" s="13" customFormat="1" ht="36.75" customHeight="1">
      <c r="B19" s="81" t="s">
        <v>944</v>
      </c>
      <c r="C19" s="81"/>
      <c r="D19" s="81"/>
      <c r="E19" s="81"/>
      <c r="F19" s="17" t="str">
        <f>IF($D$5="","",INDEX(ReportAndOutcomeHistory!$F$8:$Q$8,MATCH($D$5,ReportAndOutcomeHistory!$F$1:$Q$1,0)))</f>
        <v/>
      </c>
      <c r="G19" s="17" t="str">
        <f>IF($D$5="","",INDEX(ReportAndOutcomeHistory!$F$31:$Q$31,MATCH($D$5,ReportAndOutcomeHistory!$F$1:$Q$1,0)))</f>
        <v/>
      </c>
    </row>
    <row r="20" spans="2:7" s="13" customFormat="1" ht="21" customHeight="1">
      <c r="B20" s="81" t="s">
        <v>945</v>
      </c>
      <c r="C20" s="81"/>
      <c r="D20" s="81"/>
      <c r="E20" s="81"/>
      <c r="F20" s="17" t="str">
        <f>IF($D$5="","",INDEX(ReportAndOutcomeHistory!$F$9:$Q$9,MATCH($D$5,ReportAndOutcomeHistory!$F$1:$Q$1,0)))</f>
        <v/>
      </c>
      <c r="G20" s="17" t="str">
        <f>IF($D$5="","",INDEX(ReportAndOutcomeHistory!$F$32:$Q$32,MATCH($D$5,ReportAndOutcomeHistory!$F$1:$Q$1,0)))</f>
        <v/>
      </c>
    </row>
    <row r="21" spans="2:7" s="13" customFormat="1" ht="21" customHeight="1">
      <c r="B21" s="81" t="s">
        <v>384</v>
      </c>
      <c r="C21" s="81"/>
      <c r="D21" s="81"/>
      <c r="E21" s="81"/>
      <c r="F21" s="17" t="str">
        <f>IF($D$5="","",INDEX(ReportAndOutcomeHistory!$F$12:$Q$12,MATCH($D$5,ReportAndOutcomeHistory!$F$1:$Q$1,0)))</f>
        <v/>
      </c>
      <c r="G21" s="17" t="str">
        <f>IF($D$5="","",INDEX(ReportAndOutcomeHistory!$F$35:$Q$35,MATCH($D$5,ReportAndOutcomeHistory!$F$1:$Q$1,0)))</f>
        <v/>
      </c>
    </row>
    <row r="22" spans="2:7" s="13" customFormat="1" ht="21" customHeight="1">
      <c r="B22" s="81" t="s">
        <v>946</v>
      </c>
      <c r="C22" s="81"/>
      <c r="D22" s="81"/>
      <c r="E22" s="81"/>
      <c r="F22" s="17" t="str">
        <f>IF($D$5="","",INDEX(ReportAndOutcomeHistory!$F$27:$Q$27,MATCH($D$5,ReportAndOutcomeHistory!$F$1:$Q$1,0)))</f>
        <v/>
      </c>
      <c r="G22" s="17" t="str">
        <f>IF($D$5="","",INDEX(ReportAndOutcomeHistory!$F$52:$Q$52,MATCH($D$5,ReportAndOutcomeHistory!$F$1:$Q$1,0)))</f>
        <v/>
      </c>
    </row>
    <row r="23" spans="2:7" s="13" customFormat="1" ht="18.75" customHeight="1">
      <c r="B23" s="76" t="s">
        <v>744</v>
      </c>
      <c r="C23" s="77"/>
      <c r="D23" s="77"/>
      <c r="E23" s="77"/>
      <c r="F23" s="77"/>
      <c r="G23" s="78"/>
    </row>
    <row r="24" spans="2:7" s="14" customFormat="1" ht="45" customHeight="1" hidden="1">
      <c r="B24" s="82" t="s">
        <v>386</v>
      </c>
      <c r="C24" s="82"/>
      <c r="D24" s="82"/>
      <c r="E24" s="82"/>
      <c r="F24" s="18" t="str">
        <f>IF($D$5="","",INDEX(ReportAndOutcomeHistory!$F$14:$Q$14,MATCH($D$5,ReportAndOutcomeHistory!$F$1:$Q$1,0)))</f>
        <v/>
      </c>
      <c r="G24" s="18" t="str">
        <f>IF($D$5="","",INDEX(ReportAndOutcomeHistory!$F$37:$Q$37,MATCH($D$5,ReportAndOutcomeHistory!$F$1:$Q$1,0)))</f>
        <v/>
      </c>
    </row>
    <row r="25" spans="2:7" s="13" customFormat="1" ht="36.75" customHeight="1">
      <c r="B25" s="81" t="s">
        <v>952</v>
      </c>
      <c r="C25" s="81"/>
      <c r="D25" s="81"/>
      <c r="E25" s="81"/>
      <c r="F25" s="47" t="str">
        <f>IF($D$5="","",INDEX(ReportAndOutcomeHistory!$F$17:$Q$17,MATCH($D$5,ReportAndOutcomeHistory!$F$1:$Q$1,0)))</f>
        <v/>
      </c>
      <c r="G25" s="47" t="str">
        <f>IF($D$5="","",INDEX(ReportAndOutcomeHistory!$F$40:$Q$40,MATCH($D$5,ReportAndOutcomeHistory!$F$1:$Q$1,0)))</f>
        <v/>
      </c>
    </row>
    <row r="26" spans="2:7" s="14" customFormat="1" ht="45" customHeight="1" hidden="1">
      <c r="B26" s="82" t="s">
        <v>387</v>
      </c>
      <c r="C26" s="82"/>
      <c r="D26" s="82"/>
      <c r="E26" s="82"/>
      <c r="F26" s="48" t="str">
        <f>IF($D$5="","",INDEX(ReportAndOutcomeHistory!$F$15:$Q$15,MATCH($D$5,ReportAndOutcomeHistory!$F$1:$Q$1,0)))</f>
        <v/>
      </c>
      <c r="G26" s="48" t="str">
        <f>IF($D$5="","",INDEX(ReportAndOutcomeHistory!$F$38:$Q$38,MATCH($D$5,ReportAndOutcomeHistory!$F$1:$Q$1,0)))</f>
        <v/>
      </c>
    </row>
    <row r="27" spans="2:7" s="13" customFormat="1" ht="36.75" customHeight="1">
      <c r="B27" s="81" t="s">
        <v>953</v>
      </c>
      <c r="C27" s="81"/>
      <c r="D27" s="81"/>
      <c r="E27" s="81"/>
      <c r="F27" s="47" t="str">
        <f>IF($D$5="","",INDEX(ReportAndOutcomeHistory!$F$18:$Q$18,MATCH($D$5,ReportAndOutcomeHistory!$F$1:$Q$1,0)))</f>
        <v/>
      </c>
      <c r="G27" s="47" t="str">
        <f>IF($D$5="","",INDEX(ReportAndOutcomeHistory!$F$41:$Q$41,MATCH($D$5,ReportAndOutcomeHistory!$F$1:$Q$1,0)))</f>
        <v/>
      </c>
    </row>
    <row r="28" spans="2:7" s="14" customFormat="1" ht="45" customHeight="1" hidden="1">
      <c r="B28" s="82" t="s">
        <v>388</v>
      </c>
      <c r="C28" s="82"/>
      <c r="D28" s="82"/>
      <c r="E28" s="82"/>
      <c r="F28" s="48" t="str">
        <f>IF($D$5="","",INDEX(ReportAndOutcomeHistory!$F$16:$Q$16,MATCH($D$5,ReportAndOutcomeHistory!$F$1:$Q$1,0)))</f>
        <v/>
      </c>
      <c r="G28" s="48" t="str">
        <f>IF($D$5="","",INDEX(ReportAndOutcomeHistory!$F$39:$Q$39,MATCH($D$5,ReportAndOutcomeHistory!$F$1:$Q$1,0)))</f>
        <v/>
      </c>
    </row>
    <row r="29" spans="2:7" s="13" customFormat="1" ht="36.75" customHeight="1">
      <c r="B29" s="81" t="s">
        <v>954</v>
      </c>
      <c r="C29" s="81"/>
      <c r="D29" s="81"/>
      <c r="E29" s="81"/>
      <c r="F29" s="47" t="str">
        <f>IF($D$5="","",INDEX(ReportAndOutcomeHistory!$F$19:$Q$19,MATCH($D$5,ReportAndOutcomeHistory!$F$1:$Q$1,0)))</f>
        <v/>
      </c>
      <c r="G29" s="47" t="str">
        <f>IF($D$5="","",INDEX(ReportAndOutcomeHistory!$F$42:$Q$42,MATCH($D$5,ReportAndOutcomeHistory!$F$1:$Q$1,0)))</f>
        <v/>
      </c>
    </row>
    <row r="30" spans="2:7" s="13" customFormat="1" ht="18.75" customHeight="1">
      <c r="B30" s="76" t="s">
        <v>745</v>
      </c>
      <c r="C30" s="77"/>
      <c r="D30" s="77"/>
      <c r="E30" s="77"/>
      <c r="F30" s="77"/>
      <c r="G30" s="78"/>
    </row>
    <row r="31" spans="2:7" s="14" customFormat="1" ht="45" customHeight="1" hidden="1">
      <c r="B31" s="82" t="s">
        <v>389</v>
      </c>
      <c r="C31" s="82"/>
      <c r="D31" s="82"/>
      <c r="E31" s="82"/>
      <c r="F31" s="18" t="str">
        <f>IF($D$5="","",INDEX(ReportAndOutcomeHistory!$F$23:$Q$23,MATCH($D$5,ReportAndOutcomeHistory!$F$1:$Q$1,0)))</f>
        <v/>
      </c>
      <c r="G31" s="18" t="str">
        <f>IF($D$5="","",INDEX(ReportAndOutcomeHistory!$F$46:$Q$46,MATCH($D$5,ReportAndOutcomeHistory!$F$1:$Q$1,0)))</f>
        <v/>
      </c>
    </row>
    <row r="32" spans="2:7" s="14" customFormat="1" ht="45" customHeight="1" hidden="1">
      <c r="B32" s="82" t="s">
        <v>468</v>
      </c>
      <c r="C32" s="82"/>
      <c r="D32" s="82"/>
      <c r="E32" s="82"/>
      <c r="F32" s="18" t="str">
        <f>IF($D$5="","",INDEX(ReportAndOutcomeHistory!$F$24:$Q$24,MATCH($D$5,ReportAndOutcomeHistory!$F$1:$Q$1,0)))</f>
        <v/>
      </c>
      <c r="G32" s="18" t="str">
        <f>IF($D$5="","",INDEX(ReportAndOutcomeHistory!$F$47:$Q$47,MATCH($D$5,ReportAndOutcomeHistory!$F$1:$Q$1,0)))</f>
        <v/>
      </c>
    </row>
    <row r="33" spans="2:7" s="13" customFormat="1" ht="36.75" customHeight="1">
      <c r="B33" s="81" t="s">
        <v>947</v>
      </c>
      <c r="C33" s="81"/>
      <c r="D33" s="81"/>
      <c r="E33" s="81"/>
      <c r="F33" s="47" t="str">
        <f>IF($D$5="","",INDEX(ReportAndOutcomeHistory!$F$25:$Q$25,MATCH($D$5,ReportAndOutcomeHistory!$F$1:$Q$1,0)))</f>
        <v/>
      </c>
      <c r="G33" s="47" t="str">
        <f>IF($D$5="","",INDEX(ReportAndOutcomeHistory!$F$48:$Q$48,MATCH($D$5,ReportAndOutcomeHistory!$F$1:$Q$1,0)))</f>
        <v/>
      </c>
    </row>
    <row r="34" spans="2:7" s="13" customFormat="1" ht="36.75" customHeight="1">
      <c r="B34" s="81" t="s">
        <v>948</v>
      </c>
      <c r="C34" s="81"/>
      <c r="D34" s="81"/>
      <c r="E34" s="81"/>
      <c r="F34" s="17" t="str">
        <f>IF($D$5="","",INDEX(ReportAndOutcomeHistory!$F$20:$Q$20,MATCH($D$5,ReportAndOutcomeHistory!$F$1:$Q$1,0)))</f>
        <v/>
      </c>
      <c r="G34" s="17" t="str">
        <f>IF($D$5="","",INDEX(ReportAndOutcomeHistory!$F$43:$Q$43,MATCH($D$5,ReportAndOutcomeHistory!$F$1:$Q$1,0)))</f>
        <v/>
      </c>
    </row>
    <row r="35" spans="2:7" s="14" customFormat="1" ht="45" customHeight="1" hidden="1">
      <c r="B35" s="82" t="s">
        <v>463</v>
      </c>
      <c r="C35" s="82"/>
      <c r="D35" s="82"/>
      <c r="E35" s="82"/>
      <c r="F35" s="18" t="str">
        <f>IF($D$5="","",INDEX(ReportAndOutcomeHistory!$F$21:$Q$21,MATCH($D$5,ReportAndOutcomeHistory!$F$1:$Q$1,0)))</f>
        <v/>
      </c>
      <c r="G35" s="18" t="str">
        <f>IF($D$5="","",INDEX(ReportAndOutcomeHistory!$F$44:$Q$44,MATCH($D$5,ReportAndOutcomeHistory!$F$1:$Q$1,0)))</f>
        <v/>
      </c>
    </row>
    <row r="36" spans="2:7" s="13" customFormat="1" ht="36.75" customHeight="1">
      <c r="B36" s="81" t="s">
        <v>949</v>
      </c>
      <c r="C36" s="81"/>
      <c r="D36" s="81"/>
      <c r="E36" s="81"/>
      <c r="F36" s="47" t="str">
        <f>IF($D$5="","",INDEX(ReportAndOutcomeHistory!$F$22:$Q$22,MATCH($D$5,ReportAndOutcomeHistory!$F$1:$Q$1,0)))</f>
        <v/>
      </c>
      <c r="G36" s="47" t="str">
        <f>IF($D$5="","",INDEX(ReportAndOutcomeHistory!$F$45:$Q$45,MATCH($D$5,ReportAndOutcomeHistory!$F$1:$Q$1,0)))</f>
        <v/>
      </c>
    </row>
    <row r="37" spans="2:7" s="14" customFormat="1" ht="45" customHeight="1" hidden="1">
      <c r="B37" s="82" t="s">
        <v>464</v>
      </c>
      <c r="C37" s="82"/>
      <c r="D37" s="82"/>
      <c r="E37" s="82"/>
      <c r="F37" s="48" t="str">
        <f>IF($D$5="","",INDEX(ReportAndOutcomeHistory!$F$26:$Q$26,MATCH($D$5,ReportAndOutcomeHistory!$F$1:$Q$1,0)))</f>
        <v/>
      </c>
      <c r="G37" s="48"/>
    </row>
    <row r="38" spans="2:7" s="14" customFormat="1" ht="45" customHeight="1" hidden="1">
      <c r="B38" s="82" t="s">
        <v>467</v>
      </c>
      <c r="C38" s="82"/>
      <c r="D38" s="82"/>
      <c r="E38" s="82"/>
      <c r="F38" s="48" t="str">
        <f>IF($D$5="","",INDEX(ReportAndOutcomeHistory!$F$27:$Q$27,MATCH($D$5,ReportAndOutcomeHistory!$F$1:$Q$1,0)))</f>
        <v/>
      </c>
      <c r="G38" s="48"/>
    </row>
    <row r="39" spans="2:7" s="13" customFormat="1" ht="36.75" customHeight="1">
      <c r="B39" s="81" t="s">
        <v>950</v>
      </c>
      <c r="C39" s="81"/>
      <c r="D39" s="81"/>
      <c r="E39" s="81"/>
      <c r="F39" s="47" t="str">
        <f>IF($D$5="","",INDEX(ReportAndOutcomeHistory!$F$28:$Q$28,MATCH($D$5,ReportAndOutcomeHistory!$F$1:$Q$1,0)))</f>
        <v/>
      </c>
      <c r="G39" s="49"/>
    </row>
    <row r="40" spans="2:7" s="14" customFormat="1" ht="45" customHeight="1" hidden="1">
      <c r="B40" s="82" t="s">
        <v>470</v>
      </c>
      <c r="C40" s="82"/>
      <c r="D40" s="82"/>
      <c r="E40" s="82"/>
      <c r="F40" s="48"/>
      <c r="G40" s="48" t="str">
        <f>IF($D$5="","",INDEX(ReportAndOutcomeHistory!$F$50:$Q$50,MATCH($D$5,ReportAndOutcomeHistory!$F$1:$Q$1,0)))</f>
        <v/>
      </c>
    </row>
    <row r="41" spans="2:7" s="13" customFormat="1" ht="36.75" customHeight="1">
      <c r="B41" s="81" t="s">
        <v>951</v>
      </c>
      <c r="C41" s="81"/>
      <c r="D41" s="81"/>
      <c r="E41" s="81"/>
      <c r="F41" s="49"/>
      <c r="G41" s="47" t="str">
        <f>IF($D$5="","",INDEX(ReportAndOutcomeHistory!$F$51:$Q$51,MATCH($D$5,ReportAndOutcomeHistory!$F$1:$Q$1,0)))</f>
        <v/>
      </c>
    </row>
    <row r="42" ht="7.5" customHeight="1"/>
    <row r="43" spans="2:7" ht="13.5" customHeight="1">
      <c r="B43" s="79" t="s">
        <v>955</v>
      </c>
      <c r="C43" s="79"/>
      <c r="D43" s="79"/>
      <c r="E43" s="79"/>
      <c r="F43" s="79"/>
      <c r="G43" s="79"/>
    </row>
    <row r="44" spans="2:7" ht="27" customHeight="1">
      <c r="B44" s="80" t="s">
        <v>956</v>
      </c>
      <c r="C44" s="80"/>
      <c r="D44" s="80"/>
      <c r="E44" s="80"/>
      <c r="F44" s="80"/>
      <c r="G44" s="80"/>
    </row>
    <row r="45" ht="7.5" customHeight="1"/>
    <row r="46" spans="2:7" ht="18.75">
      <c r="B46" s="87" t="s">
        <v>970</v>
      </c>
      <c r="C46" s="87"/>
      <c r="D46" s="87"/>
      <c r="E46" s="87"/>
      <c r="F46" s="87"/>
      <c r="G46" s="87"/>
    </row>
    <row r="47" spans="2:7" ht="18.75">
      <c r="B47" s="87" t="s">
        <v>971</v>
      </c>
      <c r="C47" s="87"/>
      <c r="D47" s="87"/>
      <c r="E47" s="87"/>
      <c r="F47" s="87"/>
      <c r="G47" s="87"/>
    </row>
    <row r="48" spans="6:7" ht="15" customHeight="1">
      <c r="F48" s="19" t="s">
        <v>41</v>
      </c>
      <c r="G48" s="19" t="s">
        <v>40</v>
      </c>
    </row>
    <row r="49" spans="2:7" ht="18.75" customHeight="1">
      <c r="B49" s="76" t="s">
        <v>959</v>
      </c>
      <c r="C49" s="77"/>
      <c r="D49" s="77"/>
      <c r="E49" s="77"/>
      <c r="F49" s="77"/>
      <c r="G49" s="78"/>
    </row>
    <row r="50" spans="2:7" ht="21" customHeight="1">
      <c r="B50" s="81" t="s">
        <v>383</v>
      </c>
      <c r="C50" s="81"/>
      <c r="D50" s="81"/>
      <c r="E50" s="81"/>
      <c r="F50" s="17" t="str">
        <f>IF($D$5="","",INDEX(ReportAndOutcomeHistory!$F$6:$Q$6,MATCH($D$5,ReportAndOutcomeHistory!$F$1:$Q$1,0)))</f>
        <v/>
      </c>
      <c r="G50" s="17" t="str">
        <f>IF($D$5="","",INDEX(ReportAndOutcomeHistory!$F$29:$Q$29,MATCH($D$5,ReportAndOutcomeHistory!$F$1:$Q$1,0)))</f>
        <v/>
      </c>
    </row>
    <row r="51" spans="2:7" ht="36.75" customHeight="1">
      <c r="B51" s="81" t="s">
        <v>943</v>
      </c>
      <c r="C51" s="81"/>
      <c r="D51" s="81"/>
      <c r="E51" s="81"/>
      <c r="F51" s="17" t="str">
        <f>IF($D$5="","",INDEX(ReportAndOutcomeHistory!$F$7:$Q$7,MATCH($D$5,ReportAndOutcomeHistory!$F$1:$Q$1,0)))</f>
        <v/>
      </c>
      <c r="G51" s="17" t="str">
        <f>IF($D$5="","",INDEX(ReportAndOutcomeHistory!$F$30:$Q$30,MATCH($D$5,ReportAndOutcomeHistory!$F$1:$Q$1,0)))</f>
        <v/>
      </c>
    </row>
    <row r="52" spans="2:7" ht="36.75" customHeight="1">
      <c r="B52" s="81" t="s">
        <v>944</v>
      </c>
      <c r="C52" s="81"/>
      <c r="D52" s="81"/>
      <c r="E52" s="81"/>
      <c r="F52" s="17" t="str">
        <f>IF($D$5="","",INDEX(ReportAndOutcomeHistory!$F$8:$Q$8,MATCH($D$5,ReportAndOutcomeHistory!$F$1:$Q$1,0)))</f>
        <v/>
      </c>
      <c r="G52" s="17" t="str">
        <f>IF($D$5="","",INDEX(ReportAndOutcomeHistory!$F$31:$Q$31,MATCH($D$5,ReportAndOutcomeHistory!$F$1:$Q$1,0)))</f>
        <v/>
      </c>
    </row>
    <row r="53" spans="2:7" ht="21" customHeight="1">
      <c r="B53" s="81" t="s">
        <v>945</v>
      </c>
      <c r="C53" s="81"/>
      <c r="D53" s="81"/>
      <c r="E53" s="81"/>
      <c r="F53" s="17" t="str">
        <f>IF($D$5="","",INDEX(ReportAndOutcomeHistory!$F$9:$Q$9,MATCH($D$5,ReportAndOutcomeHistory!$F$1:$Q$1,0)))</f>
        <v/>
      </c>
      <c r="G53" s="17" t="str">
        <f>IF($D$5="","",INDEX(ReportAndOutcomeHistory!$F$32:$Q$32,MATCH($D$5,ReportAndOutcomeHistory!$F$1:$Q$1,0)))</f>
        <v/>
      </c>
    </row>
    <row r="54" spans="2:7" ht="21" customHeight="1">
      <c r="B54" s="81" t="s">
        <v>384</v>
      </c>
      <c r="C54" s="81"/>
      <c r="D54" s="81"/>
      <c r="E54" s="81"/>
      <c r="F54" s="17" t="str">
        <f>IF($D$5="","",INDEX(ReportAndOutcomeHistory!$F$12:$Q$12,MATCH($D$5,ReportAndOutcomeHistory!$F$1:$Q$1,0)))</f>
        <v/>
      </c>
      <c r="G54" s="17" t="str">
        <f>IF($D$5="","",INDEX(ReportAndOutcomeHistory!$F$35:$Q$35,MATCH($D$5,ReportAndOutcomeHistory!$F$1:$Q$1,0)))</f>
        <v/>
      </c>
    </row>
    <row r="55" spans="2:7" ht="21" customHeight="1">
      <c r="B55" s="81" t="s">
        <v>946</v>
      </c>
      <c r="C55" s="81"/>
      <c r="D55" s="81"/>
      <c r="E55" s="81"/>
      <c r="F55" s="17" t="str">
        <f>IF($D$5="","",INDEX(ReportAndOutcomeHistory!$F$27:$Q$27,MATCH($D$5,ReportAndOutcomeHistory!$F$1:$Q$1,0)))</f>
        <v/>
      </c>
      <c r="G55" s="17" t="str">
        <f>IF($D$5="","",INDEX(ReportAndOutcomeHistory!$F$52:$Q$52,MATCH($D$5,ReportAndOutcomeHistory!$F$1:$Q$1,0)))</f>
        <v/>
      </c>
    </row>
    <row r="56" spans="2:7" ht="21" customHeight="1">
      <c r="B56" s="81" t="s">
        <v>468</v>
      </c>
      <c r="C56" s="81"/>
      <c r="D56" s="81"/>
      <c r="E56" s="81"/>
      <c r="F56" s="17" t="str">
        <f>IF($D$5="","",INDEX(ReportAndOutcomeHistory!$F$24:$Q$24,MATCH($D$5,ReportAndOutcomeHistory!$F$1:$Q$1,0)))</f>
        <v/>
      </c>
      <c r="G56" s="17" t="str">
        <f>IF($D$5="","",INDEX(ReportAndOutcomeHistory!$F$47:$Q$47,MATCH($D$5,ReportAndOutcomeHistory!$F$1:$Q$1,0)))</f>
        <v/>
      </c>
    </row>
    <row r="57" spans="2:7" ht="21" customHeight="1">
      <c r="B57" s="81" t="s">
        <v>842</v>
      </c>
      <c r="C57" s="81"/>
      <c r="D57" s="81"/>
      <c r="E57" s="81"/>
      <c r="F57" s="50"/>
      <c r="G57" s="17" t="str">
        <f>IF($D$5="","",INDEX(ReportAndOutcomeHistory!$F$49:$Q$49,MATCH($D$5,ReportAndOutcomeHistory!$F$1:$Q$1,0)))</f>
        <v/>
      </c>
    </row>
    <row r="58" spans="2:7" ht="18.75" customHeight="1">
      <c r="B58" s="76" t="s">
        <v>960</v>
      </c>
      <c r="C58" s="77"/>
      <c r="D58" s="77"/>
      <c r="E58" s="77"/>
      <c r="F58" s="77"/>
      <c r="G58" s="78"/>
    </row>
    <row r="59" spans="2:7" ht="36.75" customHeight="1">
      <c r="B59" s="81" t="s">
        <v>962</v>
      </c>
      <c r="C59" s="81"/>
      <c r="D59" s="81"/>
      <c r="E59" s="81"/>
      <c r="F59" s="17" t="str">
        <f>IF($D$5="","",INDEX(ReportAndOutcomeHistory!$F$14:$Q$14,MATCH($D$5,ReportAndOutcomeHistory!$F$1:$Q$1,0)))</f>
        <v/>
      </c>
      <c r="G59" s="17" t="str">
        <f>IF($D$5="","",INDEX(ReportAndOutcomeHistory!$F$37:$Q$37,MATCH($D$5,ReportAndOutcomeHistory!$F$1:$Q$1,0)))</f>
        <v/>
      </c>
    </row>
    <row r="60" spans="2:7" ht="36.75" customHeight="1">
      <c r="B60" s="81" t="s">
        <v>963</v>
      </c>
      <c r="C60" s="81"/>
      <c r="D60" s="81"/>
      <c r="E60" s="81"/>
      <c r="F60" s="17" t="str">
        <f>IF($D$5="","",INDEX(ReportAndOutcomeHistory!$F$15:$Q$15,MATCH($D$5,ReportAndOutcomeHistory!$F$1:$Q$1,0)))</f>
        <v/>
      </c>
      <c r="G60" s="17" t="str">
        <f>IF($D$5="","",INDEX(ReportAndOutcomeHistory!$F$38:$Q$38,MATCH($D$5,ReportAndOutcomeHistory!$F$1:$Q$1,0)))</f>
        <v/>
      </c>
    </row>
    <row r="61" spans="2:7" ht="36.75" customHeight="1">
      <c r="B61" s="81" t="s">
        <v>964</v>
      </c>
      <c r="C61" s="81"/>
      <c r="D61" s="81"/>
      <c r="E61" s="81"/>
      <c r="F61" s="17" t="str">
        <f>IF($D$5="","",INDEX(ReportAndOutcomeHistory!$F$16:$Q$16,MATCH($D$5,ReportAndOutcomeHistory!$F$1:$Q$1,0)))</f>
        <v/>
      </c>
      <c r="G61" s="17" t="str">
        <f>IF($D$5="","",INDEX(ReportAndOutcomeHistory!$F$39:$Q$39,MATCH($D$5,ReportAndOutcomeHistory!$F$1:$Q$1,0)))</f>
        <v/>
      </c>
    </row>
    <row r="62" spans="2:7" ht="18.75" customHeight="1">
      <c r="B62" s="76" t="s">
        <v>961</v>
      </c>
      <c r="C62" s="77"/>
      <c r="D62" s="77"/>
      <c r="E62" s="77"/>
      <c r="F62" s="77"/>
      <c r="G62" s="78"/>
    </row>
    <row r="63" spans="2:7" ht="36.75" customHeight="1">
      <c r="B63" s="81" t="s">
        <v>965</v>
      </c>
      <c r="C63" s="81"/>
      <c r="D63" s="81"/>
      <c r="E63" s="81"/>
      <c r="F63" s="17" t="str">
        <f>IF($D$5="","",INDEX(ReportAndOutcomeHistory!$F$23:$Q$23,MATCH($D$5,ReportAndOutcomeHistory!$F$1:$Q$1,0)))</f>
        <v/>
      </c>
      <c r="G63" s="17" t="str">
        <f>IF($D$5="","",INDEX(ReportAndOutcomeHistory!$F$46:$Q$46,MATCH($D$5,ReportAndOutcomeHistory!$F$1:$Q$1,0)))</f>
        <v/>
      </c>
    </row>
    <row r="64" spans="2:7" ht="36.75" customHeight="1">
      <c r="B64" s="81" t="s">
        <v>948</v>
      </c>
      <c r="C64" s="81"/>
      <c r="D64" s="81"/>
      <c r="E64" s="81"/>
      <c r="F64" s="17" t="str">
        <f>IF($D$5="","",INDEX(ReportAndOutcomeHistory!$F$20:$Q$20,MATCH($D$5,ReportAndOutcomeHistory!$F$1:$Q$1,0)))</f>
        <v/>
      </c>
      <c r="G64" s="17" t="str">
        <f>IF($D$5="","",INDEX(ReportAndOutcomeHistory!$F$43:$Q$43,MATCH($D$5,ReportAndOutcomeHistory!$F$1:$Q$1,0)))</f>
        <v/>
      </c>
    </row>
    <row r="65" spans="2:7" ht="21" customHeight="1">
      <c r="B65" s="81" t="s">
        <v>966</v>
      </c>
      <c r="C65" s="81"/>
      <c r="D65" s="81"/>
      <c r="E65" s="81"/>
      <c r="F65" s="17" t="str">
        <f>IF($D$5="","",INDEX(ReportAndOutcomeHistory!$F$21:$Q$21,MATCH($D$5,ReportAndOutcomeHistory!$F$1:$Q$1,0)))</f>
        <v/>
      </c>
      <c r="G65" s="17" t="str">
        <f>IF($D$5="","",INDEX(ReportAndOutcomeHistory!$F$44:$Q$44,MATCH($D$5,ReportAndOutcomeHistory!$F$1:$Q$1,0)))</f>
        <v/>
      </c>
    </row>
    <row r="66" spans="2:7" ht="36.75" customHeight="1">
      <c r="B66" s="81" t="s">
        <v>967</v>
      </c>
      <c r="C66" s="81"/>
      <c r="D66" s="81"/>
      <c r="E66" s="81"/>
      <c r="F66" s="17" t="str">
        <f>IF($D$5="","",INDEX(ReportAndOutcomeHistory!$F$26:$Q$26,MATCH($D$5,ReportAndOutcomeHistory!$F$1:$Q$1,0)))</f>
        <v/>
      </c>
      <c r="G66" s="50"/>
    </row>
    <row r="67" spans="2:7" ht="36.75" customHeight="1">
      <c r="B67" s="81" t="s">
        <v>968</v>
      </c>
      <c r="C67" s="81"/>
      <c r="D67" s="81"/>
      <c r="E67" s="81"/>
      <c r="F67" s="50"/>
      <c r="G67" s="17" t="str">
        <f>IF($D$5="","",INDEX(ReportAndOutcomeHistory!$F$50:$Q$50,MATCH($D$5,ReportAndOutcomeHistory!$F$1:$Q$1,0)))</f>
        <v/>
      </c>
    </row>
    <row r="68" ht="7.5" customHeight="1"/>
    <row r="69" spans="2:7" ht="13.5" customHeight="1">
      <c r="B69" s="79" t="s">
        <v>955</v>
      </c>
      <c r="C69" s="79"/>
      <c r="D69" s="79"/>
      <c r="E69" s="79"/>
      <c r="F69" s="79"/>
      <c r="G69" s="79"/>
    </row>
    <row r="70" spans="2:7" ht="27" customHeight="1">
      <c r="B70" s="80" t="s">
        <v>956</v>
      </c>
      <c r="C70" s="80"/>
      <c r="D70" s="80"/>
      <c r="E70" s="80"/>
      <c r="F70" s="80"/>
      <c r="G70" s="80"/>
    </row>
    <row r="71" ht="15" customHeight="1"/>
  </sheetData>
  <sheetProtection algorithmName="SHA-512" hashValue="ol1k48LQxszQVZJIh7YbRIAxNxUJsaZZY0Z474JU3qBgCYlK/f70THf6tkXhoHVUZCgNVr61h9Nfqy57U97E3g==" saltValue="Bucj/Pm6fnSodrK68OBv/w==" spinCount="100000" sheet="1" scenarios="1" sort="0" autoFilter="0"/>
  <mergeCells count="59">
    <mergeCell ref="B47:G47"/>
    <mergeCell ref="B44:G44"/>
    <mergeCell ref="B43:G43"/>
    <mergeCell ref="B41:E41"/>
    <mergeCell ref="B36:E36"/>
    <mergeCell ref="B38:E38"/>
    <mergeCell ref="B39:E39"/>
    <mergeCell ref="B40:E40"/>
    <mergeCell ref="B46:G46"/>
    <mergeCell ref="B31:E31"/>
    <mergeCell ref="B32:E32"/>
    <mergeCell ref="B33:E33"/>
    <mergeCell ref="B37:E37"/>
    <mergeCell ref="B34:E34"/>
    <mergeCell ref="B35:E35"/>
    <mergeCell ref="B2:G2"/>
    <mergeCell ref="C9:G9"/>
    <mergeCell ref="C10:G10"/>
    <mergeCell ref="C11:G11"/>
    <mergeCell ref="C7:G7"/>
    <mergeCell ref="C8:G8"/>
    <mergeCell ref="C12:G12"/>
    <mergeCell ref="C13:G13"/>
    <mergeCell ref="C14:G14"/>
    <mergeCell ref="B17:E17"/>
    <mergeCell ref="B18:E18"/>
    <mergeCell ref="B19:E19"/>
    <mergeCell ref="B20:E20"/>
    <mergeCell ref="B21:E21"/>
    <mergeCell ref="B23:G23"/>
    <mergeCell ref="B30:G30"/>
    <mergeCell ref="B26:E26"/>
    <mergeCell ref="B28:E28"/>
    <mergeCell ref="B25:E25"/>
    <mergeCell ref="B22:E22"/>
    <mergeCell ref="B24:E24"/>
    <mergeCell ref="B27:E27"/>
    <mergeCell ref="B29:E29"/>
    <mergeCell ref="B50:E50"/>
    <mergeCell ref="B51:E51"/>
    <mergeCell ref="B52:E52"/>
    <mergeCell ref="B53:E53"/>
    <mergeCell ref="B54:E54"/>
    <mergeCell ref="B49:G49"/>
    <mergeCell ref="B69:G69"/>
    <mergeCell ref="B70:G70"/>
    <mergeCell ref="B66:E66"/>
    <mergeCell ref="B67:E67"/>
    <mergeCell ref="B64:E64"/>
    <mergeCell ref="B65:E65"/>
    <mergeCell ref="B61:E61"/>
    <mergeCell ref="B62:G62"/>
    <mergeCell ref="B63:E63"/>
    <mergeCell ref="B55:E55"/>
    <mergeCell ref="B58:G58"/>
    <mergeCell ref="B59:E59"/>
    <mergeCell ref="B60:E60"/>
    <mergeCell ref="B56:E56"/>
    <mergeCell ref="B57:E57"/>
  </mergeCells>
  <dataValidations count="1">
    <dataValidation type="list" allowBlank="1" showInputMessage="1" showErrorMessage="1" sqref="D5">
      <formula1>rngSelectMonth</formula1>
    </dataValidation>
  </dataValidations>
  <printOptions/>
  <pageMargins left="0.8" right="0.8" top="0.75" bottom="0.3" header="0.3" footer="0.3"/>
  <pageSetup horizontalDpi="600" verticalDpi="600" orientation="portrait" scale="95" r:id="rId3"/>
  <rowBreaks count="1" manualBreakCount="1">
    <brk id="44" min="1"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3793" r:id="rId4" name="Button 1">
              <controlPr defaultSize="0" print="0" autoFill="0" autoPict="0" macro="[0]!Return_to_Home">
                <anchor moveWithCells="1">
                  <from>
                    <xdr:col>1</xdr:col>
                    <xdr:colOff>0</xdr:colOff>
                    <xdr:row>1</xdr:row>
                    <xdr:rowOff>152400</xdr:rowOff>
                  </from>
                  <to>
                    <xdr:col>2</xdr:col>
                    <xdr:colOff>895350</xdr:colOff>
                    <xdr:row>1</xdr:row>
                    <xdr:rowOff>428625</xdr:rowOff>
                  </to>
                </anchor>
              </controlPr>
            </control>
          </mc:Choice>
        </mc:AlternateContent>
        <mc:AlternateContent>
          <mc:Choice Requires="x14">
            <control xmlns:r="http://schemas.openxmlformats.org/officeDocument/2006/relationships" shapeId="33796" r:id="rId5" name="Button 4">
              <controlPr defaultSize="0" autoFill="0" autoPict="0" macro="[0]!Go_To_Website_Home_Page">
                <anchor moveWithCells="1">
                  <from>
                    <xdr:col>3</xdr:col>
                    <xdr:colOff>723900</xdr:colOff>
                    <xdr:row>8</xdr:row>
                    <xdr:rowOff>180975</xdr:rowOff>
                  </from>
                  <to>
                    <xdr:col>4</xdr:col>
                    <xdr:colOff>1914525</xdr:colOff>
                    <xdr:row>9</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S382"/>
  <sheetViews>
    <sheetView showGridLines="0" showRowColHeaders="0" workbookViewId="0" topLeftCell="A1">
      <selection activeCell="F6" sqref="F6:Q382"/>
    </sheetView>
  </sheetViews>
  <sheetFormatPr defaultColWidth="9.140625" defaultRowHeight="15"/>
  <cols>
    <col min="1" max="1" width="17.7109375" style="0" customWidth="1"/>
    <col min="2" max="2" width="79.57421875" style="0" customWidth="1"/>
    <col min="3" max="4" width="4.140625" style="0" customWidth="1"/>
    <col min="5" max="5" width="23.57421875" style="0" customWidth="1"/>
    <col min="6" max="17" width="10.7109375" style="0" customWidth="1"/>
    <col min="18" max="18" width="21.7109375" style="0" bestFit="1" customWidth="1"/>
    <col min="19" max="19" width="10.7109375" style="0" bestFit="1" customWidth="1"/>
  </cols>
  <sheetData>
    <row r="1" spans="1:19" ht="15">
      <c r="A1" s="88" t="s">
        <v>454</v>
      </c>
      <c r="B1" s="88"/>
      <c r="C1" s="88"/>
      <c r="D1" s="88"/>
      <c r="E1" s="88"/>
      <c r="F1" s="1">
        <f>Variables!$B$16</f>
        <v>43556</v>
      </c>
      <c r="G1" s="1">
        <f>EDATE(F1,1)</f>
        <v>43586</v>
      </c>
      <c r="H1" s="1">
        <f aca="true" t="shared" si="0" ref="H1:P1">EDATE(G1,1)</f>
        <v>43617</v>
      </c>
      <c r="I1" s="1">
        <f t="shared" si="0"/>
        <v>43647</v>
      </c>
      <c r="J1" s="1">
        <f t="shared" si="0"/>
        <v>43678</v>
      </c>
      <c r="K1" s="1">
        <f t="shared" si="0"/>
        <v>43709</v>
      </c>
      <c r="L1" s="1">
        <f t="shared" si="0"/>
        <v>43739</v>
      </c>
      <c r="M1" s="1">
        <f t="shared" si="0"/>
        <v>43770</v>
      </c>
      <c r="N1" s="1">
        <f t="shared" si="0"/>
        <v>43800</v>
      </c>
      <c r="O1" s="1">
        <f t="shared" si="0"/>
        <v>43831</v>
      </c>
      <c r="P1" s="1">
        <f t="shared" si="0"/>
        <v>43862</v>
      </c>
      <c r="Q1" s="1">
        <f>EDATE(P1,1)</f>
        <v>43891</v>
      </c>
      <c r="R1" s="8" t="s">
        <v>462</v>
      </c>
      <c r="S1" s="9" t="str">
        <f>IF($S$3,INDEX($F1:$Q1,MATCH(1,$F$5:$Q$5,0)),"")</f>
        <v/>
      </c>
    </row>
    <row r="2" spans="1:19" ht="15">
      <c r="A2" s="88" t="s">
        <v>455</v>
      </c>
      <c r="B2" s="88"/>
      <c r="C2" s="88"/>
      <c r="D2" s="88"/>
      <c r="E2" s="88"/>
      <c r="F2" s="1">
        <f>EDATE(F1,1)-1</f>
        <v>43585</v>
      </c>
      <c r="G2" s="1">
        <f>EDATE(G1,1)-1</f>
        <v>43616</v>
      </c>
      <c r="H2" s="1">
        <f aca="true" t="shared" si="1" ref="H2:Q2">EDATE(H1,1)-1</f>
        <v>43646</v>
      </c>
      <c r="I2" s="1">
        <f t="shared" si="1"/>
        <v>43677</v>
      </c>
      <c r="J2" s="1">
        <f t="shared" si="1"/>
        <v>43708</v>
      </c>
      <c r="K2" s="1">
        <f t="shared" si="1"/>
        <v>43738</v>
      </c>
      <c r="L2" s="1">
        <f t="shared" si="1"/>
        <v>43769</v>
      </c>
      <c r="M2" s="1">
        <f t="shared" si="1"/>
        <v>43799</v>
      </c>
      <c r="N2" s="1">
        <f t="shared" si="1"/>
        <v>43830</v>
      </c>
      <c r="O2" s="1">
        <f t="shared" si="1"/>
        <v>43861</v>
      </c>
      <c r="P2" s="1">
        <f t="shared" si="1"/>
        <v>43890</v>
      </c>
      <c r="Q2" s="1">
        <f t="shared" si="1"/>
        <v>43921</v>
      </c>
      <c r="R2" s="8" t="s">
        <v>461</v>
      </c>
      <c r="S2" s="9" t="str">
        <f>IF($S$3,INDEX($F2:$Q2,MATCH(1,$F$5:$Q$5,0)),"")</f>
        <v/>
      </c>
    </row>
    <row r="3" spans="1:19" ht="15">
      <c r="A3" s="88" t="s">
        <v>449</v>
      </c>
      <c r="B3" s="88"/>
      <c r="C3" s="88"/>
      <c r="D3" s="88"/>
      <c r="E3" s="88"/>
      <c r="F3" s="1" t="str">
        <f>TEXT(F1,"mmmm yyyy")</f>
        <v>April 2019</v>
      </c>
      <c r="G3" s="1" t="str">
        <f aca="true" t="shared" si="2" ref="G3:Q3">TEXT(G1,"mmmm yyyy")</f>
        <v>May 2019</v>
      </c>
      <c r="H3" s="1" t="str">
        <f t="shared" si="2"/>
        <v>June 2019</v>
      </c>
      <c r="I3" s="1" t="str">
        <f t="shared" si="2"/>
        <v>July 2019</v>
      </c>
      <c r="J3" s="1" t="str">
        <f t="shared" si="2"/>
        <v>August 2019</v>
      </c>
      <c r="K3" s="1" t="str">
        <f t="shared" si="2"/>
        <v>September 2019</v>
      </c>
      <c r="L3" s="1" t="str">
        <f t="shared" si="2"/>
        <v>October 2019</v>
      </c>
      <c r="M3" s="1" t="str">
        <f t="shared" si="2"/>
        <v>November 2019</v>
      </c>
      <c r="N3" s="1" t="str">
        <f t="shared" si="2"/>
        <v>December 2019</v>
      </c>
      <c r="O3" s="1" t="str">
        <f t="shared" si="2"/>
        <v>January 2020</v>
      </c>
      <c r="P3" s="1" t="str">
        <f t="shared" si="2"/>
        <v>February 2020</v>
      </c>
      <c r="Q3" s="1" t="str">
        <f t="shared" si="2"/>
        <v>March 2020</v>
      </c>
      <c r="R3" s="8" t="s">
        <v>458</v>
      </c>
      <c r="S3" s="8">
        <f>MAX(F5:Q5)</f>
        <v>0</v>
      </c>
    </row>
    <row r="4" spans="1:18" ht="15">
      <c r="A4" s="88" t="s">
        <v>448</v>
      </c>
      <c r="B4" s="88"/>
      <c r="C4" s="88"/>
      <c r="D4" s="88"/>
      <c r="E4" s="88"/>
      <c r="R4" t="s">
        <v>860</v>
      </c>
    </row>
    <row r="5" spans="1:18" ht="15">
      <c r="A5" s="88" t="s">
        <v>469</v>
      </c>
      <c r="B5" s="88"/>
      <c r="C5" s="88"/>
      <c r="D5" s="88"/>
      <c r="E5" s="88"/>
      <c r="F5">
        <v>0</v>
      </c>
      <c r="G5">
        <v>0</v>
      </c>
      <c r="H5">
        <v>0</v>
      </c>
      <c r="I5">
        <v>0</v>
      </c>
      <c r="J5">
        <v>0</v>
      </c>
      <c r="K5">
        <v>0</v>
      </c>
      <c r="L5">
        <v>0</v>
      </c>
      <c r="M5">
        <v>0</v>
      </c>
      <c r="N5">
        <v>0</v>
      </c>
      <c r="O5">
        <v>0</v>
      </c>
      <c r="P5">
        <v>0</v>
      </c>
      <c r="Q5">
        <v>0</v>
      </c>
      <c r="R5">
        <v>0</v>
      </c>
    </row>
    <row r="6" spans="1:18" ht="15">
      <c r="A6" t="s">
        <v>41</v>
      </c>
      <c r="B6" t="s">
        <v>383</v>
      </c>
      <c r="E6" t="s">
        <v>465</v>
      </c>
      <c r="F6" t="str">
        <f>IF(F$5,COUNTIFS(Residents!$G:$G,$A6,Residents!$ID:$ID,1),"")</f>
        <v/>
      </c>
      <c r="G6" t="str">
        <f>IF(G$5,COUNTIFS(Residents!$G:$G,$A6,Residents!$ID:$ID,1),"")</f>
        <v/>
      </c>
      <c r="H6" t="str">
        <f>IF(H$5,COUNTIFS(Residents!$G:$G,$A6,Residents!$ID:$ID,1),"")</f>
        <v/>
      </c>
      <c r="I6" t="str">
        <f>IF(I$5,COUNTIFS(Residents!$G:$G,$A6,Residents!$ID:$ID,1),"")</f>
        <v/>
      </c>
      <c r="J6" t="str">
        <f>IF(J$5,COUNTIFS(Residents!$G:$G,$A6,Residents!$ID:$ID,1),"")</f>
        <v/>
      </c>
      <c r="K6" t="str">
        <f>IF(K$5,COUNTIFS(Residents!$G:$G,$A6,Residents!$ID:$ID,1),"")</f>
        <v/>
      </c>
      <c r="L6" t="str">
        <f>IF(L$5,COUNTIFS(Residents!$G:$G,$A6,Residents!$ID:$ID,1),"")</f>
        <v/>
      </c>
      <c r="M6" t="str">
        <f>IF(M$5,COUNTIFS(Residents!$G:$G,$A6,Residents!$ID:$ID,1),"")</f>
        <v/>
      </c>
      <c r="N6" t="str">
        <f>IF(N$5,COUNTIFS(Residents!$G:$G,$A6,Residents!$ID:$ID,1),"")</f>
        <v/>
      </c>
      <c r="O6" t="str">
        <f>IF(O$5,COUNTIFS(Residents!$G:$G,$A6,Residents!$ID:$ID,1),"")</f>
        <v/>
      </c>
      <c r="P6" t="str">
        <f>IF(P$5,COUNTIFS(Residents!$G:$G,$A6,Residents!$ID:$ID,1),"")</f>
        <v/>
      </c>
      <c r="Q6" t="str">
        <f>IF(Q$5,COUNTIFS(Residents!$G:$G,$A6,Residents!$ID:$ID,1),"")</f>
        <v/>
      </c>
      <c r="R6" t="str">
        <f>IF(R$5,COUNTIFS(Residents!$G:$G,$A6,Residents!$ID:$ID,1),"")</f>
        <v/>
      </c>
    </row>
    <row r="7" spans="1:18" ht="15">
      <c r="A7" t="s">
        <v>41</v>
      </c>
      <c r="B7" t="s">
        <v>452</v>
      </c>
      <c r="E7" t="s">
        <v>465</v>
      </c>
      <c r="F7" t="str">
        <f>IF(F$5,COUNTIFS(Residents!$G:$G,$A7,Residents!$ID:$ID,1,Residents!$IE:$IE,1,Residents!$IF:$IF,0),"")</f>
        <v/>
      </c>
      <c r="G7" t="str">
        <f>IF(G$5,COUNTIFS(Residents!$G:$G,$A7,Residents!$ID:$ID,1,Residents!$IE:$IE,1,Residents!$IF:$IF,0),"")</f>
        <v/>
      </c>
      <c r="H7" t="str">
        <f>IF(H$5,COUNTIFS(Residents!$G:$G,$A7,Residents!$ID:$ID,1,Residents!$IE:$IE,1,Residents!$IF:$IF,0),"")</f>
        <v/>
      </c>
      <c r="I7" t="str">
        <f>IF(I$5,COUNTIFS(Residents!$G:$G,$A7,Residents!$ID:$ID,1,Residents!$IE:$IE,1,Residents!$IF:$IF,0),"")</f>
        <v/>
      </c>
      <c r="J7" t="str">
        <f>IF(J$5,COUNTIFS(Residents!$G:$G,$A7,Residents!$ID:$ID,1,Residents!$IE:$IE,1,Residents!$IF:$IF,0),"")</f>
        <v/>
      </c>
      <c r="K7" t="str">
        <f>IF(K$5,COUNTIFS(Residents!$G:$G,$A7,Residents!$ID:$ID,1,Residents!$IE:$IE,1,Residents!$IF:$IF,0),"")</f>
        <v/>
      </c>
      <c r="L7" t="str">
        <f>IF(L$5,COUNTIFS(Residents!$G:$G,$A7,Residents!$ID:$ID,1,Residents!$IE:$IE,1,Residents!$IF:$IF,0),"")</f>
        <v/>
      </c>
      <c r="M7" t="str">
        <f>IF(M$5,COUNTIFS(Residents!$G:$G,$A7,Residents!$ID:$ID,1,Residents!$IE:$IE,1,Residents!$IF:$IF,0),"")</f>
        <v/>
      </c>
      <c r="N7" t="str">
        <f>IF(N$5,COUNTIFS(Residents!$G:$G,$A7,Residents!$ID:$ID,1,Residents!$IE:$IE,1,Residents!$IF:$IF,0),"")</f>
        <v/>
      </c>
      <c r="O7" t="str">
        <f>IF(O$5,COUNTIFS(Residents!$G:$G,$A7,Residents!$ID:$ID,1,Residents!$IE:$IE,1,Residents!$IF:$IF,0),"")</f>
        <v/>
      </c>
      <c r="P7" t="str">
        <f>IF(P$5,COUNTIFS(Residents!$G:$G,$A7,Residents!$ID:$ID,1,Residents!$IE:$IE,1,Residents!$IF:$IF,0),"")</f>
        <v/>
      </c>
      <c r="Q7" t="str">
        <f>IF(Q$5,COUNTIFS(Residents!$G:$G,$A7,Residents!$ID:$ID,1,Residents!$IE:$IE,1,Residents!$IF:$IF,0),"")</f>
        <v/>
      </c>
      <c r="R7" t="str">
        <f>IF(R$5,COUNTIFS(Residents!$G:$G,$A7,Residents!$ID:$ID,1,Residents!$IE:$IE,1,Residents!$IF:$IF,0),"")</f>
        <v/>
      </c>
    </row>
    <row r="8" spans="1:18" ht="15">
      <c r="A8" t="s">
        <v>41</v>
      </c>
      <c r="B8" t="s">
        <v>453</v>
      </c>
      <c r="E8" t="s">
        <v>465</v>
      </c>
      <c r="F8" t="str">
        <f>IF(F$5,COUNTIFS(Residents!$G:$G,$A8,Residents!$ID:$ID,1,Residents!$IE:$IE,0,Residents!$IF:$IF,1),"")</f>
        <v/>
      </c>
      <c r="G8" t="str">
        <f>IF(G$5,COUNTIFS(Residents!$G:$G,$A8,Residents!$ID:$ID,1,Residents!$IE:$IE,0,Residents!$IF:$IF,1),"")</f>
        <v/>
      </c>
      <c r="H8" t="str">
        <f>IF(H$5,COUNTIFS(Residents!$G:$G,$A8,Residents!$ID:$ID,1,Residents!$IE:$IE,0,Residents!$IF:$IF,1),"")</f>
        <v/>
      </c>
      <c r="I8" t="str">
        <f>IF(I$5,COUNTIFS(Residents!$G:$G,$A8,Residents!$ID:$ID,1,Residents!$IE:$IE,0,Residents!$IF:$IF,1),"")</f>
        <v/>
      </c>
      <c r="J8" t="str">
        <f>IF(J$5,COUNTIFS(Residents!$G:$G,$A8,Residents!$ID:$ID,1,Residents!$IE:$IE,0,Residents!$IF:$IF,1),"")</f>
        <v/>
      </c>
      <c r="K8" t="str">
        <f>IF(K$5,COUNTIFS(Residents!$G:$G,$A8,Residents!$ID:$ID,1,Residents!$IE:$IE,0,Residents!$IF:$IF,1),"")</f>
        <v/>
      </c>
      <c r="L8" t="str">
        <f>IF(L$5,COUNTIFS(Residents!$G:$G,$A8,Residents!$ID:$ID,1,Residents!$IE:$IE,0,Residents!$IF:$IF,1),"")</f>
        <v/>
      </c>
      <c r="M8" t="str">
        <f>IF(M$5,COUNTIFS(Residents!$G:$G,$A8,Residents!$ID:$ID,1,Residents!$IE:$IE,0,Residents!$IF:$IF,1),"")</f>
        <v/>
      </c>
      <c r="N8" t="str">
        <f>IF(N$5,COUNTIFS(Residents!$G:$G,$A8,Residents!$ID:$ID,1,Residents!$IE:$IE,0,Residents!$IF:$IF,1),"")</f>
        <v/>
      </c>
      <c r="O8" t="str">
        <f>IF(O$5,COUNTIFS(Residents!$G:$G,$A8,Residents!$ID:$ID,1,Residents!$IE:$IE,0,Residents!$IF:$IF,1),"")</f>
        <v/>
      </c>
      <c r="P8" t="str">
        <f>IF(P$5,COUNTIFS(Residents!$G:$G,$A8,Residents!$ID:$ID,1,Residents!$IE:$IE,0,Residents!$IF:$IF,1),"")</f>
        <v/>
      </c>
      <c r="Q8" t="str">
        <f>IF(Q$5,COUNTIFS(Residents!$G:$G,$A8,Residents!$ID:$ID,1,Residents!$IE:$IE,0,Residents!$IF:$IF,1),"")</f>
        <v/>
      </c>
      <c r="R8" t="str">
        <f>IF(R$5,COUNTIFS(Residents!$G:$G,$A8,Residents!$ID:$ID,1,Residents!$IE:$IE,0,Residents!$IF:$IF,1),"")</f>
        <v/>
      </c>
    </row>
    <row r="9" spans="1:18" ht="15">
      <c r="A9" t="s">
        <v>41</v>
      </c>
      <c r="B9" t="s">
        <v>44</v>
      </c>
      <c r="E9" t="s">
        <v>465</v>
      </c>
      <c r="F9" t="str">
        <f>IF(F$5,COUNTIFS(Residents!$G:$G,$A9,Residents!$ID:$ID,1,Residents!$IE:$IE,1,Residents!$IF:$IF,1),"")</f>
        <v/>
      </c>
      <c r="G9" t="str">
        <f>IF(G$5,COUNTIFS(Residents!$G:$G,$A9,Residents!$ID:$ID,1,Residents!$IE:$IE,1,Residents!$IF:$IF,1),"")</f>
        <v/>
      </c>
      <c r="H9" t="str">
        <f>IF(H$5,COUNTIFS(Residents!$G:$G,$A9,Residents!$ID:$ID,1,Residents!$IE:$IE,1,Residents!$IF:$IF,1),"")</f>
        <v/>
      </c>
      <c r="I9" t="str">
        <f>IF(I$5,COUNTIFS(Residents!$G:$G,$A9,Residents!$ID:$ID,1,Residents!$IE:$IE,1,Residents!$IF:$IF,1),"")</f>
        <v/>
      </c>
      <c r="J9" t="str">
        <f>IF(J$5,COUNTIFS(Residents!$G:$G,$A9,Residents!$ID:$ID,1,Residents!$IE:$IE,1,Residents!$IF:$IF,1),"")</f>
        <v/>
      </c>
      <c r="K9" t="str">
        <f>IF(K$5,COUNTIFS(Residents!$G:$G,$A9,Residents!$ID:$ID,1,Residents!$IE:$IE,1,Residents!$IF:$IF,1),"")</f>
        <v/>
      </c>
      <c r="L9" t="str">
        <f>IF(L$5,COUNTIFS(Residents!$G:$G,$A9,Residents!$ID:$ID,1,Residents!$IE:$IE,1,Residents!$IF:$IF,1),"")</f>
        <v/>
      </c>
      <c r="M9" t="str">
        <f>IF(M$5,COUNTIFS(Residents!$G:$G,$A9,Residents!$ID:$ID,1,Residents!$IE:$IE,1,Residents!$IF:$IF,1),"")</f>
        <v/>
      </c>
      <c r="N9" t="str">
        <f>IF(N$5,COUNTIFS(Residents!$G:$G,$A9,Residents!$ID:$ID,1,Residents!$IE:$IE,1,Residents!$IF:$IF,1),"")</f>
        <v/>
      </c>
      <c r="O9" t="str">
        <f>IF(O$5,COUNTIFS(Residents!$G:$G,$A9,Residents!$ID:$ID,1,Residents!$IE:$IE,1,Residents!$IF:$IF,1),"")</f>
        <v/>
      </c>
      <c r="P9" t="str">
        <f>IF(P$5,COUNTIFS(Residents!$G:$G,$A9,Residents!$ID:$ID,1,Residents!$IE:$IE,1,Residents!$IF:$IF,1),"")</f>
        <v/>
      </c>
      <c r="Q9" t="str">
        <f>IF(Q$5,COUNTIFS(Residents!$G:$G,$A9,Residents!$ID:$ID,1,Residents!$IE:$IE,1,Residents!$IF:$IF,1),"")</f>
        <v/>
      </c>
      <c r="R9" t="str">
        <f>IF(R$5,COUNTIFS(Residents!$G:$G,$A9,Residents!$ID:$ID,1,Residents!$IE:$IE,1,Residents!$IF:$IF,1),"")</f>
        <v/>
      </c>
    </row>
    <row r="10" spans="1:18" ht="15">
      <c r="A10" t="s">
        <v>41</v>
      </c>
      <c r="B10" t="s">
        <v>861</v>
      </c>
      <c r="E10" t="s">
        <v>465</v>
      </c>
      <c r="F10" t="str">
        <f aca="true" t="shared" si="3" ref="F10:Q10">IF(F$5,F7+F9,"")</f>
        <v/>
      </c>
      <c r="G10" t="str">
        <f t="shared" si="3"/>
        <v/>
      </c>
      <c r="H10" t="str">
        <f t="shared" si="3"/>
        <v/>
      </c>
      <c r="I10" t="str">
        <f t="shared" si="3"/>
        <v/>
      </c>
      <c r="J10" t="str">
        <f t="shared" si="3"/>
        <v/>
      </c>
      <c r="K10" t="str">
        <f t="shared" si="3"/>
        <v/>
      </c>
      <c r="L10" t="str">
        <f t="shared" si="3"/>
        <v/>
      </c>
      <c r="M10" t="str">
        <f t="shared" si="3"/>
        <v/>
      </c>
      <c r="N10" t="str">
        <f t="shared" si="3"/>
        <v/>
      </c>
      <c r="O10" t="str">
        <f t="shared" si="3"/>
        <v/>
      </c>
      <c r="P10" t="str">
        <f t="shared" si="3"/>
        <v/>
      </c>
      <c r="Q10" t="str">
        <f t="shared" si="3"/>
        <v/>
      </c>
      <c r="R10" t="str">
        <f>IF(R$5,R7+R9,"")</f>
        <v/>
      </c>
    </row>
    <row r="11" spans="1:18" ht="15">
      <c r="A11" t="s">
        <v>41</v>
      </c>
      <c r="B11" t="s">
        <v>862</v>
      </c>
      <c r="E11" t="s">
        <v>465</v>
      </c>
      <c r="F11" t="str">
        <f aca="true" t="shared" si="4" ref="F11:Q11">IF(F$5,F8+F9,"")</f>
        <v/>
      </c>
      <c r="G11" t="str">
        <f t="shared" si="4"/>
        <v/>
      </c>
      <c r="H11" t="str">
        <f t="shared" si="4"/>
        <v/>
      </c>
      <c r="I11" t="str">
        <f t="shared" si="4"/>
        <v/>
      </c>
      <c r="J11" t="str">
        <f t="shared" si="4"/>
        <v/>
      </c>
      <c r="K11" t="str">
        <f t="shared" si="4"/>
        <v/>
      </c>
      <c r="L11" t="str">
        <f t="shared" si="4"/>
        <v/>
      </c>
      <c r="M11" t="str">
        <f t="shared" si="4"/>
        <v/>
      </c>
      <c r="N11" t="str">
        <f t="shared" si="4"/>
        <v/>
      </c>
      <c r="O11" t="str">
        <f t="shared" si="4"/>
        <v/>
      </c>
      <c r="P11" t="str">
        <f t="shared" si="4"/>
        <v/>
      </c>
      <c r="Q11" t="str">
        <f t="shared" si="4"/>
        <v/>
      </c>
      <c r="R11" t="str">
        <f>IF(R$5,R8+R9,"")</f>
        <v/>
      </c>
    </row>
    <row r="12" spans="1:18" ht="15">
      <c r="A12" t="s">
        <v>41</v>
      </c>
      <c r="B12" t="s">
        <v>384</v>
      </c>
      <c r="E12" t="s">
        <v>465</v>
      </c>
      <c r="F12" t="str">
        <f>IF(F$5,COUNTIFS(Residents!$G:$G,$A12,Residents!$ID:$ID,1,Residents!$IH:$IH,1),"")</f>
        <v/>
      </c>
      <c r="G12" t="str">
        <f>IF(G$5,COUNTIFS(Residents!$G:$G,$A12,Residents!$ID:$ID,1,Residents!$IH:$IH,1),"")</f>
        <v/>
      </c>
      <c r="H12" t="str">
        <f>IF(H$5,COUNTIFS(Residents!$G:$G,$A12,Residents!$ID:$ID,1,Residents!$IH:$IH,1),"")</f>
        <v/>
      </c>
      <c r="I12" t="str">
        <f>IF(I$5,COUNTIFS(Residents!$G:$G,$A12,Residents!$ID:$ID,1,Residents!$IH:$IH,1),"")</f>
        <v/>
      </c>
      <c r="J12" t="str">
        <f>IF(J$5,COUNTIFS(Residents!$G:$G,$A12,Residents!$ID:$ID,1,Residents!$IH:$IH,1),"")</f>
        <v/>
      </c>
      <c r="K12" t="str">
        <f>IF(K$5,COUNTIFS(Residents!$G:$G,$A12,Residents!$ID:$ID,1,Residents!$IH:$IH,1),"")</f>
        <v/>
      </c>
      <c r="L12" t="str">
        <f>IF(L$5,COUNTIFS(Residents!$G:$G,$A12,Residents!$ID:$ID,1,Residents!$IH:$IH,1),"")</f>
        <v/>
      </c>
      <c r="M12" t="str">
        <f>IF(M$5,COUNTIFS(Residents!$G:$G,$A12,Residents!$ID:$ID,1,Residents!$IH:$IH,1),"")</f>
        <v/>
      </c>
      <c r="N12" t="str">
        <f>IF(N$5,COUNTIFS(Residents!$G:$G,$A12,Residents!$ID:$ID,1,Residents!$IH:$IH,1),"")</f>
        <v/>
      </c>
      <c r="O12" t="str">
        <f>IF(O$5,COUNTIFS(Residents!$G:$G,$A12,Residents!$ID:$ID,1,Residents!$IH:$IH,1),"")</f>
        <v/>
      </c>
      <c r="P12" t="str">
        <f>IF(P$5,COUNTIFS(Residents!$G:$G,$A12,Residents!$ID:$ID,1,Residents!$IH:$IH,1),"")</f>
        <v/>
      </c>
      <c r="Q12" t="str">
        <f>IF(Q$5,COUNTIFS(Residents!$G:$G,$A12,Residents!$ID:$ID,1,Residents!$IH:$IH,1),"")</f>
        <v/>
      </c>
      <c r="R12" t="str">
        <f>IF(R$5,COUNTIFS(Residents!$G:$G,$A12,Residents!$ID:$ID,1,Residents!$IH:$IH,1),"")</f>
        <v/>
      </c>
    </row>
    <row r="13" spans="1:18" ht="15">
      <c r="A13" t="s">
        <v>41</v>
      </c>
      <c r="B13" t="s">
        <v>385</v>
      </c>
      <c r="E13" t="s">
        <v>466</v>
      </c>
      <c r="F13" t="str">
        <f>IF(F$5,COUNTIFS(Medications!$AN:$AN,ReportAndOutcomeHistory!$A13,Medications!$AP:$AP,1),"")</f>
        <v/>
      </c>
      <c r="G13" t="str">
        <f>IF(G$5,COUNTIFS(Medications!$AN:$AN,ReportAndOutcomeHistory!$A13,Medications!$AP:$AP,1),"")</f>
        <v/>
      </c>
      <c r="H13" t="str">
        <f>IF(H$5,COUNTIFS(Medications!$AN:$AN,ReportAndOutcomeHistory!$A13,Medications!$AP:$AP,1),"")</f>
        <v/>
      </c>
      <c r="I13" t="str">
        <f>IF(I$5,COUNTIFS(Medications!$AN:$AN,ReportAndOutcomeHistory!$A13,Medications!$AP:$AP,1),"")</f>
        <v/>
      </c>
      <c r="J13" t="str">
        <f>IF(J$5,COUNTIFS(Medications!$AN:$AN,ReportAndOutcomeHistory!$A13,Medications!$AP:$AP,1),"")</f>
        <v/>
      </c>
      <c r="K13" t="str">
        <f>IF(K$5,COUNTIFS(Medications!$AN:$AN,ReportAndOutcomeHistory!$A13,Medications!$AP:$AP,1),"")</f>
        <v/>
      </c>
      <c r="L13" t="str">
        <f>IF(L$5,COUNTIFS(Medications!$AN:$AN,ReportAndOutcomeHistory!$A13,Medications!$AP:$AP,1),"")</f>
        <v/>
      </c>
      <c r="M13" t="str">
        <f>IF(M$5,COUNTIFS(Medications!$AN:$AN,ReportAndOutcomeHistory!$A13,Medications!$AP:$AP,1),"")</f>
        <v/>
      </c>
      <c r="N13" t="str">
        <f>IF(N$5,COUNTIFS(Medications!$AN:$AN,ReportAndOutcomeHistory!$A13,Medications!$AP:$AP,1),"")</f>
        <v/>
      </c>
      <c r="O13" t="str">
        <f>IF(O$5,COUNTIFS(Medications!$AN:$AN,ReportAndOutcomeHistory!$A13,Medications!$AP:$AP,1),"")</f>
        <v/>
      </c>
      <c r="P13" t="str">
        <f>IF(P$5,COUNTIFS(Medications!$AN:$AN,ReportAndOutcomeHistory!$A13,Medications!$AP:$AP,1),"")</f>
        <v/>
      </c>
      <c r="Q13" t="str">
        <f>IF(Q$5,COUNTIFS(Medications!$AN:$AN,ReportAndOutcomeHistory!$A13,Medications!$AP:$AP,1),"")</f>
        <v/>
      </c>
      <c r="R13" t="str">
        <f>IF(R$5,COUNTIFS(Medications!$AN:$AN,ReportAndOutcomeHistory!$A13,Medications!$AP:$AP,1),"")</f>
        <v/>
      </c>
    </row>
    <row r="14" spans="1:18" ht="15">
      <c r="A14" t="s">
        <v>41</v>
      </c>
      <c r="B14" t="s">
        <v>386</v>
      </c>
      <c r="E14" t="s">
        <v>465</v>
      </c>
      <c r="F14" t="str">
        <f>IF(F$5,COUNTIFS(Residents!$G:$G,$A14,Residents!$ID:$ID,1,Residents!$IJ:$IJ,1,Residents!$IQ:$IQ,1),"")</f>
        <v/>
      </c>
      <c r="G14" t="str">
        <f>IF(G$5,COUNTIFS(Residents!$G:$G,$A14,Residents!$ID:$ID,1,Residents!$IJ:$IJ,1,Residents!$IQ:$IQ,1),"")</f>
        <v/>
      </c>
      <c r="H14" t="str">
        <f>IF(H$5,COUNTIFS(Residents!$G:$G,$A14,Residents!$ID:$ID,1,Residents!$IJ:$IJ,1,Residents!$IQ:$IQ,1),"")</f>
        <v/>
      </c>
      <c r="I14" t="str">
        <f>IF(I$5,COUNTIFS(Residents!$G:$G,$A14,Residents!$ID:$ID,1,Residents!$IJ:$IJ,1,Residents!$IQ:$IQ,1),"")</f>
        <v/>
      </c>
      <c r="J14" t="str">
        <f>IF(J$5,COUNTIFS(Residents!$G:$G,$A14,Residents!$ID:$ID,1,Residents!$IJ:$IJ,1,Residents!$IQ:$IQ,1),"")</f>
        <v/>
      </c>
      <c r="K14" t="str">
        <f>IF(K$5,COUNTIFS(Residents!$G:$G,$A14,Residents!$ID:$ID,1,Residents!$IJ:$IJ,1,Residents!$IQ:$IQ,1),"")</f>
        <v/>
      </c>
      <c r="L14" t="str">
        <f>IF(L$5,COUNTIFS(Residents!$G:$G,$A14,Residents!$ID:$ID,1,Residents!$IJ:$IJ,1,Residents!$IQ:$IQ,1),"")</f>
        <v/>
      </c>
      <c r="M14" t="str">
        <f>IF(M$5,COUNTIFS(Residents!$G:$G,$A14,Residents!$ID:$ID,1,Residents!$IJ:$IJ,1,Residents!$IQ:$IQ,1),"")</f>
        <v/>
      </c>
      <c r="N14" t="str">
        <f>IF(N$5,COUNTIFS(Residents!$G:$G,$A14,Residents!$ID:$ID,1,Residents!$IJ:$IJ,1,Residents!$IQ:$IQ,1),"")</f>
        <v/>
      </c>
      <c r="O14" t="str">
        <f>IF(O$5,COUNTIFS(Residents!$G:$G,$A14,Residents!$ID:$ID,1,Residents!$IJ:$IJ,1,Residents!$IQ:$IQ,1),"")</f>
        <v/>
      </c>
      <c r="P14" t="str">
        <f>IF(P$5,COUNTIFS(Residents!$G:$G,$A14,Residents!$ID:$ID,1,Residents!$IJ:$IJ,1,Residents!$IQ:$IQ,1),"")</f>
        <v/>
      </c>
      <c r="Q14" t="str">
        <f>IF(Q$5,COUNTIFS(Residents!$G:$G,$A14,Residents!$ID:$ID,1,Residents!$IJ:$IJ,1,Residents!$IQ:$IQ,1),"")</f>
        <v/>
      </c>
      <c r="R14" t="str">
        <f>IF(R$5,COUNTIFS(Residents!$G:$G,$A14,Residents!$ID:$ID,1,Residents!$IJ:$IJ,1,Residents!$IQ:$IQ,1),"")</f>
        <v/>
      </c>
    </row>
    <row r="15" spans="1:18" ht="15">
      <c r="A15" t="s">
        <v>41</v>
      </c>
      <c r="B15" t="s">
        <v>387</v>
      </c>
      <c r="E15" t="s">
        <v>465</v>
      </c>
      <c r="F15" t="str">
        <f>IF(F$5,COUNTIFS(Residents!$G:$G,$A15,Residents!$ID:$ID,1,Residents!$IJ:$IJ,1,Residents!$IQ:$IQ,1,Residents!$IR:$IR,1),"")</f>
        <v/>
      </c>
      <c r="G15" t="str">
        <f>IF(G$5,COUNTIFS(Residents!$G:$G,$A15,Residents!$ID:$ID,1,Residents!$IJ:$IJ,1,Residents!$IQ:$IQ,1,Residents!$IR:$IR,1),"")</f>
        <v/>
      </c>
      <c r="H15" t="str">
        <f>IF(H$5,COUNTIFS(Residents!$G:$G,$A15,Residents!$ID:$ID,1,Residents!$IJ:$IJ,1,Residents!$IQ:$IQ,1,Residents!$IR:$IR,1),"")</f>
        <v/>
      </c>
      <c r="I15" t="str">
        <f>IF(I$5,COUNTIFS(Residents!$G:$G,$A15,Residents!$ID:$ID,1,Residents!$IJ:$IJ,1,Residents!$IQ:$IQ,1,Residents!$IR:$IR,1),"")</f>
        <v/>
      </c>
      <c r="J15" t="str">
        <f>IF(J$5,COUNTIFS(Residents!$G:$G,$A15,Residents!$ID:$ID,1,Residents!$IJ:$IJ,1,Residents!$IQ:$IQ,1,Residents!$IR:$IR,1),"")</f>
        <v/>
      </c>
      <c r="K15" t="str">
        <f>IF(K$5,COUNTIFS(Residents!$G:$G,$A15,Residents!$ID:$ID,1,Residents!$IJ:$IJ,1,Residents!$IQ:$IQ,1,Residents!$IR:$IR,1),"")</f>
        <v/>
      </c>
      <c r="L15" t="str">
        <f>IF(L$5,COUNTIFS(Residents!$G:$G,$A15,Residents!$ID:$ID,1,Residents!$IJ:$IJ,1,Residents!$IQ:$IQ,1,Residents!$IR:$IR,1),"")</f>
        <v/>
      </c>
      <c r="M15" t="str">
        <f>IF(M$5,COUNTIFS(Residents!$G:$G,$A15,Residents!$ID:$ID,1,Residents!$IJ:$IJ,1,Residents!$IQ:$IQ,1,Residents!$IR:$IR,1),"")</f>
        <v/>
      </c>
      <c r="N15" t="str">
        <f>IF(N$5,COUNTIFS(Residents!$G:$G,$A15,Residents!$ID:$ID,1,Residents!$IJ:$IJ,1,Residents!$IQ:$IQ,1,Residents!$IR:$IR,1),"")</f>
        <v/>
      </c>
      <c r="O15" t="str">
        <f>IF(O$5,COUNTIFS(Residents!$G:$G,$A15,Residents!$ID:$ID,1,Residents!$IJ:$IJ,1,Residents!$IQ:$IQ,1,Residents!$IR:$IR,1),"")</f>
        <v/>
      </c>
      <c r="P15" t="str">
        <f>IF(P$5,COUNTIFS(Residents!$G:$G,$A15,Residents!$ID:$ID,1,Residents!$IJ:$IJ,1,Residents!$IQ:$IQ,1,Residents!$IR:$IR,1),"")</f>
        <v/>
      </c>
      <c r="Q15" t="str">
        <f>IF(Q$5,COUNTIFS(Residents!$G:$G,$A15,Residents!$ID:$ID,1,Residents!$IJ:$IJ,1,Residents!$IQ:$IQ,1,Residents!$IR:$IR,1),"")</f>
        <v/>
      </c>
      <c r="R15" t="str">
        <f>IF(R$5,COUNTIFS(Residents!$G:$G,$A15,Residents!$ID:$ID,1,Residents!$IJ:$IJ,1,Residents!$IQ:$IQ,1,Residents!$IR:$IR,1),"")</f>
        <v/>
      </c>
    </row>
    <row r="16" spans="1:18" ht="15">
      <c r="A16" t="s">
        <v>41</v>
      </c>
      <c r="B16" t="s">
        <v>388</v>
      </c>
      <c r="E16" t="s">
        <v>465</v>
      </c>
      <c r="F16" t="str">
        <f>IF(F$5,COUNTIFS(Residents!$G:$G,$A16,Residents!$ID:$ID,1,Residents!$IM:$IM,1),"")</f>
        <v/>
      </c>
      <c r="G16" t="str">
        <f>IF(G$5,COUNTIFS(Residents!$G:$G,$A16,Residents!$ID:$ID,1,Residents!$IM:$IM,1),"")</f>
        <v/>
      </c>
      <c r="H16" t="str">
        <f>IF(H$5,COUNTIFS(Residents!$G:$G,$A16,Residents!$ID:$ID,1,Residents!$IM:$IM,1),"")</f>
        <v/>
      </c>
      <c r="I16" t="str">
        <f>IF(I$5,COUNTIFS(Residents!$G:$G,$A16,Residents!$ID:$ID,1,Residents!$IM:$IM,1),"")</f>
        <v/>
      </c>
      <c r="J16" t="str">
        <f>IF(J$5,COUNTIFS(Residents!$G:$G,$A16,Residents!$ID:$ID,1,Residents!$IM:$IM,1),"")</f>
        <v/>
      </c>
      <c r="K16" t="str">
        <f>IF(K$5,COUNTIFS(Residents!$G:$G,$A16,Residents!$ID:$ID,1,Residents!$IM:$IM,1),"")</f>
        <v/>
      </c>
      <c r="L16" t="str">
        <f>IF(L$5,COUNTIFS(Residents!$G:$G,$A16,Residents!$ID:$ID,1,Residents!$IM:$IM,1),"")</f>
        <v/>
      </c>
      <c r="M16" t="str">
        <f>IF(M$5,COUNTIFS(Residents!$G:$G,$A16,Residents!$ID:$ID,1,Residents!$IM:$IM,1),"")</f>
        <v/>
      </c>
      <c r="N16" t="str">
        <f>IF(N$5,COUNTIFS(Residents!$G:$G,$A16,Residents!$ID:$ID,1,Residents!$IM:$IM,1),"")</f>
        <v/>
      </c>
      <c r="O16" t="str">
        <f>IF(O$5,COUNTIFS(Residents!$G:$G,$A16,Residents!$ID:$ID,1,Residents!$IM:$IM,1),"")</f>
        <v/>
      </c>
      <c r="P16" t="str">
        <f>IF(P$5,COUNTIFS(Residents!$G:$G,$A16,Residents!$ID:$ID,1,Residents!$IM:$IM,1),"")</f>
        <v/>
      </c>
      <c r="Q16" t="str">
        <f>IF(Q$5,COUNTIFS(Residents!$G:$G,$A16,Residents!$ID:$ID,1,Residents!$IM:$IM,1),"")</f>
        <v/>
      </c>
      <c r="R16" t="str">
        <f>IF(R$5,COUNTIFS(Residents!$G:$G,$A16,Residents!$ID:$ID,1,Residents!$IM:$IM,1),"")</f>
        <v/>
      </c>
    </row>
    <row r="17" spans="1:18" ht="15">
      <c r="A17" t="s">
        <v>41</v>
      </c>
      <c r="B17" t="s">
        <v>379</v>
      </c>
      <c r="E17" t="s">
        <v>465</v>
      </c>
      <c r="F17" s="10" t="str">
        <f aca="true" t="shared" si="5" ref="F17:Q17">IF(F$5,IF(F6=0,"n/a",F14/F6),"")</f>
        <v/>
      </c>
      <c r="G17" s="10" t="str">
        <f t="shared" si="5"/>
        <v/>
      </c>
      <c r="H17" s="10" t="str">
        <f t="shared" si="5"/>
        <v/>
      </c>
      <c r="I17" s="10" t="str">
        <f t="shared" si="5"/>
        <v/>
      </c>
      <c r="J17" s="10" t="str">
        <f t="shared" si="5"/>
        <v/>
      </c>
      <c r="K17" s="10" t="str">
        <f t="shared" si="5"/>
        <v/>
      </c>
      <c r="L17" s="10" t="str">
        <f t="shared" si="5"/>
        <v/>
      </c>
      <c r="M17" s="10" t="str">
        <f t="shared" si="5"/>
        <v/>
      </c>
      <c r="N17" s="10" t="str">
        <f t="shared" si="5"/>
        <v/>
      </c>
      <c r="O17" s="10" t="str">
        <f t="shared" si="5"/>
        <v/>
      </c>
      <c r="P17" s="10" t="str">
        <f t="shared" si="5"/>
        <v/>
      </c>
      <c r="Q17" s="10" t="str">
        <f t="shared" si="5"/>
        <v/>
      </c>
      <c r="R17" s="10" t="str">
        <f>IF(R$5,IF(R6=0,"n/a",R14/R6),"")</f>
        <v/>
      </c>
    </row>
    <row r="18" spans="1:18" ht="15">
      <c r="A18" t="s">
        <v>41</v>
      </c>
      <c r="B18" t="s">
        <v>380</v>
      </c>
      <c r="E18" t="s">
        <v>465</v>
      </c>
      <c r="F18" s="10" t="str">
        <f aca="true" t="shared" si="6" ref="F18:Q18">IF(F$5,IF(F6=0,"n/a",F15/F6),"")</f>
        <v/>
      </c>
      <c r="G18" s="10" t="str">
        <f t="shared" si="6"/>
        <v/>
      </c>
      <c r="H18" s="10" t="str">
        <f t="shared" si="6"/>
        <v/>
      </c>
      <c r="I18" s="10" t="str">
        <f t="shared" si="6"/>
        <v/>
      </c>
      <c r="J18" s="10" t="str">
        <f t="shared" si="6"/>
        <v/>
      </c>
      <c r="K18" s="10" t="str">
        <f t="shared" si="6"/>
        <v/>
      </c>
      <c r="L18" s="10" t="str">
        <f t="shared" si="6"/>
        <v/>
      </c>
      <c r="M18" s="10" t="str">
        <f t="shared" si="6"/>
        <v/>
      </c>
      <c r="N18" s="10" t="str">
        <f t="shared" si="6"/>
        <v/>
      </c>
      <c r="O18" s="10" t="str">
        <f t="shared" si="6"/>
        <v/>
      </c>
      <c r="P18" s="10" t="str">
        <f t="shared" si="6"/>
        <v/>
      </c>
      <c r="Q18" s="10" t="str">
        <f t="shared" si="6"/>
        <v/>
      </c>
      <c r="R18" s="10" t="str">
        <f>IF(R$5,IF(R6=0,"n/a",R15/R6),"")</f>
        <v/>
      </c>
    </row>
    <row r="19" spans="1:18" ht="15">
      <c r="A19" t="s">
        <v>41</v>
      </c>
      <c r="B19" t="s">
        <v>381</v>
      </c>
      <c r="E19" t="s">
        <v>465</v>
      </c>
      <c r="F19" s="10" t="str">
        <f aca="true" t="shared" si="7" ref="F19:Q19">IF(F$5,IF(F6=0,"n/a",F16/F6),"")</f>
        <v/>
      </c>
      <c r="G19" s="10" t="str">
        <f t="shared" si="7"/>
        <v/>
      </c>
      <c r="H19" s="10" t="str">
        <f t="shared" si="7"/>
        <v/>
      </c>
      <c r="I19" s="10" t="str">
        <f t="shared" si="7"/>
        <v/>
      </c>
      <c r="J19" s="10" t="str">
        <f t="shared" si="7"/>
        <v/>
      </c>
      <c r="K19" s="10" t="str">
        <f t="shared" si="7"/>
        <v/>
      </c>
      <c r="L19" s="10" t="str">
        <f t="shared" si="7"/>
        <v/>
      </c>
      <c r="M19" s="10" t="str">
        <f t="shared" si="7"/>
        <v/>
      </c>
      <c r="N19" s="10" t="str">
        <f t="shared" si="7"/>
        <v/>
      </c>
      <c r="O19" s="10" t="str">
        <f t="shared" si="7"/>
        <v/>
      </c>
      <c r="P19" s="10" t="str">
        <f t="shared" si="7"/>
        <v/>
      </c>
      <c r="Q19" s="10" t="str">
        <f t="shared" si="7"/>
        <v/>
      </c>
      <c r="R19" s="10" t="str">
        <f>IF(R$5,IF(R6=0,"n/a",R16/R6),"")</f>
        <v/>
      </c>
    </row>
    <row r="20" spans="1:18" ht="15">
      <c r="A20" t="s">
        <v>41</v>
      </c>
      <c r="B20" t="s">
        <v>450</v>
      </c>
      <c r="E20" t="s">
        <v>466</v>
      </c>
      <c r="F20" t="str">
        <f>IF(F$5,COUNTIFS(Medications!$AN:$AN,$A20,Medications!$AP:$AP,1,Medications!$O:$O,1,Medications!$D:$D,"Antipsychotics/Antimanic Agents"),"")</f>
        <v/>
      </c>
      <c r="G20" t="str">
        <f>IF(G$5,COUNTIFS(Medications!$AN:$AN,$A20,Medications!$AP:$AP,1,Medications!$O:$O,1,Medications!$D:$D,"Antipsychotics/Antimanic Agents"),"")</f>
        <v/>
      </c>
      <c r="H20" t="str">
        <f>IF(H$5,COUNTIFS(Medications!$AN:$AN,$A20,Medications!$AP:$AP,1,Medications!$O:$O,1,Medications!$D:$D,"Antipsychotics/Antimanic Agents"),"")</f>
        <v/>
      </c>
      <c r="I20" t="str">
        <f>IF(I$5,COUNTIFS(Medications!$AN:$AN,$A20,Medications!$AP:$AP,1,Medications!$O:$O,1,Medications!$D:$D,"Antipsychotics/Antimanic Agents"),"")</f>
        <v/>
      </c>
      <c r="J20" t="str">
        <f>IF(J$5,COUNTIFS(Medications!$AN:$AN,$A20,Medications!$AP:$AP,1,Medications!$O:$O,1,Medications!$D:$D,"Antipsychotics/Antimanic Agents"),"")</f>
        <v/>
      </c>
      <c r="K20" t="str">
        <f>IF(K$5,COUNTIFS(Medications!$AN:$AN,$A20,Medications!$AP:$AP,1,Medications!$O:$O,1,Medications!$D:$D,"Antipsychotics/Antimanic Agents"),"")</f>
        <v/>
      </c>
      <c r="L20" t="str">
        <f>IF(L$5,COUNTIFS(Medications!$AN:$AN,$A20,Medications!$AP:$AP,1,Medications!$O:$O,1,Medications!$D:$D,"Antipsychotics/Antimanic Agents"),"")</f>
        <v/>
      </c>
      <c r="M20" t="str">
        <f>IF(M$5,COUNTIFS(Medications!$AN:$AN,$A20,Medications!$AP:$AP,1,Medications!$O:$O,1,Medications!$D:$D,"Antipsychotics/Antimanic Agents"),"")</f>
        <v/>
      </c>
      <c r="N20" t="str">
        <f>IF(N$5,COUNTIFS(Medications!$AN:$AN,$A20,Medications!$AP:$AP,1,Medications!$O:$O,1,Medications!$D:$D,"Antipsychotics/Antimanic Agents"),"")</f>
        <v/>
      </c>
      <c r="O20" t="str">
        <f>IF(O$5,COUNTIFS(Medications!$AN:$AN,$A20,Medications!$AP:$AP,1,Medications!$O:$O,1,Medications!$D:$D,"Antipsychotics/Antimanic Agents"),"")</f>
        <v/>
      </c>
      <c r="P20" t="str">
        <f>IF(P$5,COUNTIFS(Medications!$AN:$AN,$A20,Medications!$AP:$AP,1,Medications!$O:$O,1,Medications!$D:$D,"Antipsychotics/Antimanic Agents"),"")</f>
        <v/>
      </c>
      <c r="Q20" t="str">
        <f>IF(Q$5,COUNTIFS(Medications!$AN:$AN,$A20,Medications!$AP:$AP,1,Medications!$O:$O,1,Medications!$D:$D,"Antipsychotics/Antimanic Agents"),"")</f>
        <v/>
      </c>
      <c r="R20" t="str">
        <f>IF(R$5,COUNTIFS(Medications!$AN:$AN,$A20,Medications!$AP:$AP,1,Medications!$O:$O,1,Medications!$D:$D,"Antipsychotics/Antimanic Agents"),"")</f>
        <v/>
      </c>
    </row>
    <row r="21" spans="1:18" ht="15">
      <c r="A21" t="s">
        <v>41</v>
      </c>
      <c r="B21" t="s">
        <v>463</v>
      </c>
      <c r="E21" t="s">
        <v>465</v>
      </c>
      <c r="F21" t="str">
        <f>IF(F$5,COUNTIFS(Residents!$G:$G,$A21,Residents!$ID:$ID,1,Residents!$II:$II,1),"")</f>
        <v/>
      </c>
      <c r="G21" t="str">
        <f>IF(G$5,COUNTIFS(Residents!$G:$G,$A21,Residents!$ID:$ID,1,Residents!$II:$II,1),"")</f>
        <v/>
      </c>
      <c r="H21" t="str">
        <f>IF(H$5,COUNTIFS(Residents!$G:$G,$A21,Residents!$ID:$ID,1,Residents!$II:$II,1),"")</f>
        <v/>
      </c>
      <c r="I21" t="str">
        <f>IF(I$5,COUNTIFS(Residents!$G:$G,$A21,Residents!$ID:$ID,1,Residents!$II:$II,1),"")</f>
        <v/>
      </c>
      <c r="J21" t="str">
        <f>IF(J$5,COUNTIFS(Residents!$G:$G,$A21,Residents!$ID:$ID,1,Residents!$II:$II,1),"")</f>
        <v/>
      </c>
      <c r="K21" t="str">
        <f>IF(K$5,COUNTIFS(Residents!$G:$G,$A21,Residents!$ID:$ID,1,Residents!$II:$II,1),"")</f>
        <v/>
      </c>
      <c r="L21" t="str">
        <f>IF(L$5,COUNTIFS(Residents!$G:$G,$A21,Residents!$ID:$ID,1,Residents!$II:$II,1),"")</f>
        <v/>
      </c>
      <c r="M21" t="str">
        <f>IF(M$5,COUNTIFS(Residents!$G:$G,$A21,Residents!$ID:$ID,1,Residents!$II:$II,1),"")</f>
        <v/>
      </c>
      <c r="N21" t="str">
        <f>IF(N$5,COUNTIFS(Residents!$G:$G,$A21,Residents!$ID:$ID,1,Residents!$II:$II,1),"")</f>
        <v/>
      </c>
      <c r="O21" t="str">
        <f>IF(O$5,COUNTIFS(Residents!$G:$G,$A21,Residents!$ID:$ID,1,Residents!$II:$II,1),"")</f>
        <v/>
      </c>
      <c r="P21" t="str">
        <f>IF(P$5,COUNTIFS(Residents!$G:$G,$A21,Residents!$ID:$ID,1,Residents!$II:$II,1),"")</f>
        <v/>
      </c>
      <c r="Q21" t="str">
        <f>IF(Q$5,COUNTIFS(Residents!$G:$G,$A21,Residents!$ID:$ID,1,Residents!$II:$II,1),"")</f>
        <v/>
      </c>
      <c r="R21" t="str">
        <f>IF(R$5,COUNTIFS(Residents!$G:$G,$A21,Residents!$ID:$ID,1,Residents!$II:$II,1),"")</f>
        <v/>
      </c>
    </row>
    <row r="22" spans="1:18" ht="15">
      <c r="A22" t="s">
        <v>41</v>
      </c>
      <c r="B22" t="s">
        <v>382</v>
      </c>
      <c r="E22" t="s">
        <v>465</v>
      </c>
      <c r="F22" s="10" t="str">
        <f aca="true" t="shared" si="8" ref="F22:Q22">IF(F$5,IF(F12=0,"n/a",F21/F12),"")</f>
        <v/>
      </c>
      <c r="G22" s="10" t="str">
        <f t="shared" si="8"/>
        <v/>
      </c>
      <c r="H22" s="10" t="str">
        <f t="shared" si="8"/>
        <v/>
      </c>
      <c r="I22" s="10" t="str">
        <f t="shared" si="8"/>
        <v/>
      </c>
      <c r="J22" s="10" t="str">
        <f t="shared" si="8"/>
        <v/>
      </c>
      <c r="K22" s="10" t="str">
        <f t="shared" si="8"/>
        <v/>
      </c>
      <c r="L22" s="10" t="str">
        <f t="shared" si="8"/>
        <v/>
      </c>
      <c r="M22" s="10" t="str">
        <f t="shared" si="8"/>
        <v/>
      </c>
      <c r="N22" s="10" t="str">
        <f t="shared" si="8"/>
        <v/>
      </c>
      <c r="O22" s="10" t="str">
        <f t="shared" si="8"/>
        <v/>
      </c>
      <c r="P22" s="10" t="str">
        <f t="shared" si="8"/>
        <v/>
      </c>
      <c r="Q22" s="10" t="str">
        <f t="shared" si="8"/>
        <v/>
      </c>
      <c r="R22" s="10" t="str">
        <f>IF(R$5,IF(R12=0,"n/a",R21/R12),"")</f>
        <v/>
      </c>
    </row>
    <row r="23" spans="1:18" ht="15">
      <c r="A23" t="s">
        <v>41</v>
      </c>
      <c r="B23" t="s">
        <v>389</v>
      </c>
      <c r="E23" t="s">
        <v>465</v>
      </c>
      <c r="F23" t="str">
        <f>IF(F$5,COUNTIFS(Residents!$G:$G,$A23,Residents!$ID:$ID,1,Residents!$IE:$IE,1,Residents!$IH:$IH,0),"")</f>
        <v/>
      </c>
      <c r="G23" t="str">
        <f>IF(G$5,COUNTIFS(Residents!$G:$G,$A23,Residents!$ID:$ID,1,Residents!$IE:$IE,1,Residents!$IH:$IH,0),"")</f>
        <v/>
      </c>
      <c r="H23" t="str">
        <f>IF(H$5,COUNTIFS(Residents!$G:$G,$A23,Residents!$ID:$ID,1,Residents!$IE:$IE,1,Residents!$IH:$IH,0),"")</f>
        <v/>
      </c>
      <c r="I23" t="str">
        <f>IF(I$5,COUNTIFS(Residents!$G:$G,$A23,Residents!$ID:$ID,1,Residents!$IE:$IE,1,Residents!$IH:$IH,0),"")</f>
        <v/>
      </c>
      <c r="J23" t="str">
        <f>IF(J$5,COUNTIFS(Residents!$G:$G,$A23,Residents!$ID:$ID,1,Residents!$IE:$IE,1,Residents!$IH:$IH,0),"")</f>
        <v/>
      </c>
      <c r="K23" t="str">
        <f>IF(K$5,COUNTIFS(Residents!$G:$G,$A23,Residents!$ID:$ID,1,Residents!$IE:$IE,1,Residents!$IH:$IH,0),"")</f>
        <v/>
      </c>
      <c r="L23" t="str">
        <f>IF(L$5,COUNTIFS(Residents!$G:$G,$A23,Residents!$ID:$ID,1,Residents!$IE:$IE,1,Residents!$IH:$IH,0),"")</f>
        <v/>
      </c>
      <c r="M23" t="str">
        <f>IF(M$5,COUNTIFS(Residents!$G:$G,$A23,Residents!$ID:$ID,1,Residents!$IE:$IE,1,Residents!$IH:$IH,0),"")</f>
        <v/>
      </c>
      <c r="N23" t="str">
        <f>IF(N$5,COUNTIFS(Residents!$G:$G,$A23,Residents!$ID:$ID,1,Residents!$IE:$IE,1,Residents!$IH:$IH,0),"")</f>
        <v/>
      </c>
      <c r="O23" t="str">
        <f>IF(O$5,COUNTIFS(Residents!$G:$G,$A23,Residents!$ID:$ID,1,Residents!$IE:$IE,1,Residents!$IH:$IH,0),"")</f>
        <v/>
      </c>
      <c r="P23" t="str">
        <f>IF(P$5,COUNTIFS(Residents!$G:$G,$A23,Residents!$ID:$ID,1,Residents!$IE:$IE,1,Residents!$IH:$IH,0),"")</f>
        <v/>
      </c>
      <c r="Q23" t="str">
        <f>IF(Q$5,COUNTIFS(Residents!$G:$G,$A23,Residents!$ID:$ID,1,Residents!$IE:$IE,1,Residents!$IH:$IH,0),"")</f>
        <v/>
      </c>
      <c r="R23" t="str">
        <f>IF(R$5,COUNTIFS(Residents!$G:$G,$A23,Residents!$ID:$ID,1,Residents!$IE:$IE,1,Residents!$IH:$IH,0),"")</f>
        <v/>
      </c>
    </row>
    <row r="24" spans="1:18" ht="15">
      <c r="A24" t="s">
        <v>41</v>
      </c>
      <c r="B24" t="s">
        <v>468</v>
      </c>
      <c r="E24" t="s">
        <v>465</v>
      </c>
      <c r="F24" t="str">
        <f>IF(F$5,COUNTIFS(Residents!$G:$G,$A24,Residents!$ID:$ID,1,Residents!$IE:$IE,1),"")</f>
        <v/>
      </c>
      <c r="G24" t="str">
        <f>IF(G$5,COUNTIFS(Residents!$G:$G,$A24,Residents!$ID:$ID,1,Residents!$IE:$IE,1),"")</f>
        <v/>
      </c>
      <c r="H24" t="str">
        <f>IF(H$5,COUNTIFS(Residents!$G:$G,$A24,Residents!$ID:$ID,1,Residents!$IE:$IE,1),"")</f>
        <v/>
      </c>
      <c r="I24" t="str">
        <f>IF(I$5,COUNTIFS(Residents!$G:$G,$A24,Residents!$ID:$ID,1,Residents!$IE:$IE,1),"")</f>
        <v/>
      </c>
      <c r="J24" t="str">
        <f>IF(J$5,COUNTIFS(Residents!$G:$G,$A24,Residents!$ID:$ID,1,Residents!$IE:$IE,1),"")</f>
        <v/>
      </c>
      <c r="K24" t="str">
        <f>IF(K$5,COUNTIFS(Residents!$G:$G,$A24,Residents!$ID:$ID,1,Residents!$IE:$IE,1),"")</f>
        <v/>
      </c>
      <c r="L24" t="str">
        <f>IF(L$5,COUNTIFS(Residents!$G:$G,$A24,Residents!$ID:$ID,1,Residents!$IE:$IE,1),"")</f>
        <v/>
      </c>
      <c r="M24" t="str">
        <f>IF(M$5,COUNTIFS(Residents!$G:$G,$A24,Residents!$ID:$ID,1,Residents!$IE:$IE,1),"")</f>
        <v/>
      </c>
      <c r="N24" t="str">
        <f>IF(N$5,COUNTIFS(Residents!$G:$G,$A24,Residents!$ID:$ID,1,Residents!$IE:$IE,1),"")</f>
        <v/>
      </c>
      <c r="O24" t="str">
        <f>IF(O$5,COUNTIFS(Residents!$G:$G,$A24,Residents!$ID:$ID,1,Residents!$IE:$IE,1),"")</f>
        <v/>
      </c>
      <c r="P24" t="str">
        <f>IF(P$5,COUNTIFS(Residents!$G:$G,$A24,Residents!$ID:$ID,1,Residents!$IE:$IE,1),"")</f>
        <v/>
      </c>
      <c r="Q24" t="str">
        <f>IF(Q$5,COUNTIFS(Residents!$G:$G,$A24,Residents!$ID:$ID,1,Residents!$IE:$IE,1),"")</f>
        <v/>
      </c>
      <c r="R24" t="str">
        <f>IF(R$5,COUNTIFS(Residents!$G:$G,$A24,Residents!$ID:$ID,1,Residents!$IE:$IE,1),"")</f>
        <v/>
      </c>
    </row>
    <row r="25" spans="1:18" ht="15">
      <c r="A25" t="s">
        <v>41</v>
      </c>
      <c r="B25" t="s">
        <v>45</v>
      </c>
      <c r="E25" t="s">
        <v>465</v>
      </c>
      <c r="F25" s="10" t="str">
        <f aca="true" t="shared" si="9" ref="F25:Q25">IF(F$5,IF(F24=0,"n/a",F23/F24),"")</f>
        <v/>
      </c>
      <c r="G25" s="10" t="str">
        <f t="shared" si="9"/>
        <v/>
      </c>
      <c r="H25" s="10" t="str">
        <f t="shared" si="9"/>
        <v/>
      </c>
      <c r="I25" s="10" t="str">
        <f t="shared" si="9"/>
        <v/>
      </c>
      <c r="J25" s="10" t="str">
        <f t="shared" si="9"/>
        <v/>
      </c>
      <c r="K25" s="10" t="str">
        <f t="shared" si="9"/>
        <v/>
      </c>
      <c r="L25" s="10" t="str">
        <f t="shared" si="9"/>
        <v/>
      </c>
      <c r="M25" s="10" t="str">
        <f t="shared" si="9"/>
        <v/>
      </c>
      <c r="N25" s="10" t="str">
        <f t="shared" si="9"/>
        <v/>
      </c>
      <c r="O25" s="10" t="str">
        <f t="shared" si="9"/>
        <v/>
      </c>
      <c r="P25" s="10" t="str">
        <f t="shared" si="9"/>
        <v/>
      </c>
      <c r="Q25" s="10" t="str">
        <f t="shared" si="9"/>
        <v/>
      </c>
      <c r="R25" s="10" t="str">
        <f>IF(R$5,IF(R24=0,"n/a",R23/R24),"")</f>
        <v/>
      </c>
    </row>
    <row r="26" spans="1:18" ht="15">
      <c r="A26" t="s">
        <v>41</v>
      </c>
      <c r="B26" t="s">
        <v>464</v>
      </c>
      <c r="E26" t="s">
        <v>465</v>
      </c>
      <c r="F26" s="11" t="str">
        <f>IF(F$5,COUNTIFS(Medications!$AN:$AN,$A26,Medications!$AO:$AO,1,Medications!$AQ:$AQ,1),"")</f>
        <v/>
      </c>
      <c r="G26" s="11" t="str">
        <f>IF(G$5,COUNTIFS(Medications!$AN:$AN,$A26,Medications!$AO:$AO,1,Medications!$AQ:$AQ,1),"")</f>
        <v/>
      </c>
      <c r="H26" s="11" t="str">
        <f>IF(H$5,COUNTIFS(Medications!$AN:$AN,$A26,Medications!$AO:$AO,1,Medications!$AQ:$AQ,1),"")</f>
        <v/>
      </c>
      <c r="I26" s="11" t="str">
        <f>IF(I$5,COUNTIFS(Medications!$AN:$AN,$A26,Medications!$AO:$AO,1,Medications!$AQ:$AQ,1),"")</f>
        <v/>
      </c>
      <c r="J26" s="11" t="str">
        <f>IF(J$5,COUNTIFS(Medications!$AN:$AN,$A26,Medications!$AO:$AO,1,Medications!$AQ:$AQ,1),"")</f>
        <v/>
      </c>
      <c r="K26" s="11" t="str">
        <f>IF(K$5,COUNTIFS(Medications!$AN:$AN,$A26,Medications!$AO:$AO,1,Medications!$AQ:$AQ,1),"")</f>
        <v/>
      </c>
      <c r="L26" s="11" t="str">
        <f>IF(L$5,COUNTIFS(Medications!$AN:$AN,$A26,Medications!$AO:$AO,1,Medications!$AQ:$AQ,1),"")</f>
        <v/>
      </c>
      <c r="M26" s="11" t="str">
        <f>IF(M$5,COUNTIFS(Medications!$AN:$AN,$A26,Medications!$AO:$AO,1,Medications!$AQ:$AQ,1),"")</f>
        <v/>
      </c>
      <c r="N26" s="11" t="str">
        <f>IF(N$5,COUNTIFS(Medications!$AN:$AN,$A26,Medications!$AO:$AO,1,Medications!$AQ:$AQ,1),"")</f>
        <v/>
      </c>
      <c r="O26" s="11" t="str">
        <f>IF(O$5,COUNTIFS(Medications!$AN:$AN,$A26,Medications!$AO:$AO,1,Medications!$AQ:$AQ,1),"")</f>
        <v/>
      </c>
      <c r="P26" s="11" t="str">
        <f>IF(P$5,COUNTIFS(Medications!$AN:$AN,$A26,Medications!$AO:$AO,1,Medications!$AQ:$AQ,1),"")</f>
        <v/>
      </c>
      <c r="Q26" s="11" t="str">
        <f>IF(Q$5,COUNTIFS(Medications!$AN:$AN,$A26,Medications!$AO:$AO,1,Medications!$AQ:$AQ,1),"")</f>
        <v/>
      </c>
      <c r="R26" s="11" t="str">
        <f>IF(R$5,COUNTIFS(Medications!$AN:$AN,$A26,Medications!$AO:$AO,1,Medications!$AQ:$AQ,1),"")</f>
        <v/>
      </c>
    </row>
    <row r="27" spans="1:18" ht="15">
      <c r="A27" t="s">
        <v>41</v>
      </c>
      <c r="B27" t="s">
        <v>467</v>
      </c>
      <c r="E27" t="s">
        <v>465</v>
      </c>
      <c r="F27" s="11" t="str">
        <f>IF(F$5,COUNTIFS(Medications!$AN:$AN,$A27,Medications!$AO:$AO,1),"")</f>
        <v/>
      </c>
      <c r="G27" s="11" t="str">
        <f>IF(G$5,COUNTIFS(Medications!$AN:$AN,$A27,Medications!$AO:$AO,1),"")</f>
        <v/>
      </c>
      <c r="H27" s="11" t="str">
        <f>IF(H$5,COUNTIFS(Medications!$AN:$AN,$A27,Medications!$AO:$AO,1),"")</f>
        <v/>
      </c>
      <c r="I27" s="11" t="str">
        <f>IF(I$5,COUNTIFS(Medications!$AN:$AN,$A27,Medications!$AO:$AO,1),"")</f>
        <v/>
      </c>
      <c r="J27" s="11" t="str">
        <f>IF(J$5,COUNTIFS(Medications!$AN:$AN,$A27,Medications!$AO:$AO,1),"")</f>
        <v/>
      </c>
      <c r="K27" s="11" t="str">
        <f>IF(K$5,COUNTIFS(Medications!$AN:$AN,$A27,Medications!$AO:$AO,1),"")</f>
        <v/>
      </c>
      <c r="L27" s="11" t="str">
        <f>IF(L$5,COUNTIFS(Medications!$AN:$AN,$A27,Medications!$AO:$AO,1),"")</f>
        <v/>
      </c>
      <c r="M27" s="11" t="str">
        <f>IF(M$5,COUNTIFS(Medications!$AN:$AN,$A27,Medications!$AO:$AO,1),"")</f>
        <v/>
      </c>
      <c r="N27" s="11" t="str">
        <f>IF(N$5,COUNTIFS(Medications!$AN:$AN,$A27,Medications!$AO:$AO,1),"")</f>
        <v/>
      </c>
      <c r="O27" s="11" t="str">
        <f>IF(O$5,COUNTIFS(Medications!$AN:$AN,$A27,Medications!$AO:$AO,1),"")</f>
        <v/>
      </c>
      <c r="P27" s="11" t="str">
        <f>IF(P$5,COUNTIFS(Medications!$AN:$AN,$A27,Medications!$AO:$AO,1),"")</f>
        <v/>
      </c>
      <c r="Q27" s="11" t="str">
        <f>IF(Q$5,COUNTIFS(Medications!$AN:$AN,$A27,Medications!$AO:$AO,1),"")</f>
        <v/>
      </c>
      <c r="R27" s="11" t="str">
        <f>IF(R$5,COUNTIFS(Medications!$AN:$AN,$A27,Medications!$AO:$AO,1),"")</f>
        <v/>
      </c>
    </row>
    <row r="28" spans="1:18" ht="15">
      <c r="A28" t="s">
        <v>41</v>
      </c>
      <c r="B28" t="s">
        <v>451</v>
      </c>
      <c r="E28" t="s">
        <v>465</v>
      </c>
      <c r="F28" s="10" t="str">
        <f aca="true" t="shared" si="10" ref="F28:Q28">IF(F$5,IF(F27=0,"n/a",F26/F27),"")</f>
        <v/>
      </c>
      <c r="G28" s="10" t="str">
        <f t="shared" si="10"/>
        <v/>
      </c>
      <c r="H28" s="10" t="str">
        <f t="shared" si="10"/>
        <v/>
      </c>
      <c r="I28" s="10" t="str">
        <f t="shared" si="10"/>
        <v/>
      </c>
      <c r="J28" s="10" t="str">
        <f t="shared" si="10"/>
        <v/>
      </c>
      <c r="K28" s="10" t="str">
        <f t="shared" si="10"/>
        <v/>
      </c>
      <c r="L28" s="10" t="str">
        <f t="shared" si="10"/>
        <v/>
      </c>
      <c r="M28" s="10" t="str">
        <f t="shared" si="10"/>
        <v/>
      </c>
      <c r="N28" s="10" t="str">
        <f t="shared" si="10"/>
        <v/>
      </c>
      <c r="O28" s="10" t="str">
        <f t="shared" si="10"/>
        <v/>
      </c>
      <c r="P28" s="10" t="str">
        <f t="shared" si="10"/>
        <v/>
      </c>
      <c r="Q28" s="10" t="str">
        <f t="shared" si="10"/>
        <v/>
      </c>
      <c r="R28" s="10" t="str">
        <f>IF(R$5,IF(R27=0,"n/a",R26/R27),"")</f>
        <v/>
      </c>
    </row>
    <row r="29" spans="1:18" ht="15">
      <c r="A29" t="s">
        <v>40</v>
      </c>
      <c r="B29" t="s">
        <v>383</v>
      </c>
      <c r="E29" t="s">
        <v>465</v>
      </c>
      <c r="F29" t="str">
        <f>IF(F$5,COUNTIFS(Residents!$G:$G,$A29,Residents!$ID:$ID,1),"")</f>
        <v/>
      </c>
      <c r="G29" t="str">
        <f>IF(G$5,COUNTIFS(Residents!$G:$G,$A29,Residents!$ID:$ID,1),"")</f>
        <v/>
      </c>
      <c r="H29" t="str">
        <f>IF(H$5,COUNTIFS(Residents!$G:$G,$A29,Residents!$ID:$ID,1),"")</f>
        <v/>
      </c>
      <c r="I29" t="str">
        <f>IF(I$5,COUNTIFS(Residents!$G:$G,$A29,Residents!$ID:$ID,1),"")</f>
        <v/>
      </c>
      <c r="J29" t="str">
        <f>IF(J$5,COUNTIFS(Residents!$G:$G,$A29,Residents!$ID:$ID,1),"")</f>
        <v/>
      </c>
      <c r="K29" t="str">
        <f>IF(K$5,COUNTIFS(Residents!$G:$G,$A29,Residents!$ID:$ID,1),"")</f>
        <v/>
      </c>
      <c r="L29" t="str">
        <f>IF(L$5,COUNTIFS(Residents!$G:$G,$A29,Residents!$ID:$ID,1),"")</f>
        <v/>
      </c>
      <c r="M29" t="str">
        <f>IF(M$5,COUNTIFS(Residents!$G:$G,$A29,Residents!$ID:$ID,1),"")</f>
        <v/>
      </c>
      <c r="N29" t="str">
        <f>IF(N$5,COUNTIFS(Residents!$G:$G,$A29,Residents!$ID:$ID,1),"")</f>
        <v/>
      </c>
      <c r="O29" t="str">
        <f>IF(O$5,COUNTIFS(Residents!$G:$G,$A29,Residents!$ID:$ID,1),"")</f>
        <v/>
      </c>
      <c r="P29" t="str">
        <f>IF(P$5,COUNTIFS(Residents!$G:$G,$A29,Residents!$ID:$ID,1),"")</f>
        <v/>
      </c>
      <c r="Q29" t="str">
        <f>IF(Q$5,COUNTIFS(Residents!$G:$G,$A29,Residents!$ID:$ID,1),"")</f>
        <v/>
      </c>
      <c r="R29" t="str">
        <f>IF(R$5,COUNTIFS(Residents!$G:$G,$A29,Residents!$ID:$ID,1),"")</f>
        <v/>
      </c>
    </row>
    <row r="30" spans="1:18" ht="15">
      <c r="A30" t="s">
        <v>40</v>
      </c>
      <c r="B30" t="s">
        <v>452</v>
      </c>
      <c r="E30" t="s">
        <v>465</v>
      </c>
      <c r="F30" t="str">
        <f>IF(F$5,COUNTIFS(Residents!$G:$G,$A30,Residents!$ID:$ID,1,Residents!$IE:$IE,1,Residents!$IF:$IF,0),"")</f>
        <v/>
      </c>
      <c r="G30" t="str">
        <f>IF(G$5,COUNTIFS(Residents!$G:$G,$A30,Residents!$ID:$ID,1,Residents!$IE:$IE,1,Residents!$IF:$IF,0),"")</f>
        <v/>
      </c>
      <c r="H30" t="str">
        <f>IF(H$5,COUNTIFS(Residents!$G:$G,$A30,Residents!$ID:$ID,1,Residents!$IE:$IE,1,Residents!$IF:$IF,0),"")</f>
        <v/>
      </c>
      <c r="I30" t="str">
        <f>IF(I$5,COUNTIFS(Residents!$G:$G,$A30,Residents!$ID:$ID,1,Residents!$IE:$IE,1,Residents!$IF:$IF,0),"")</f>
        <v/>
      </c>
      <c r="J30" t="str">
        <f>IF(J$5,COUNTIFS(Residents!$G:$G,$A30,Residents!$ID:$ID,1,Residents!$IE:$IE,1,Residents!$IF:$IF,0),"")</f>
        <v/>
      </c>
      <c r="K30" t="str">
        <f>IF(K$5,COUNTIFS(Residents!$G:$G,$A30,Residents!$ID:$ID,1,Residents!$IE:$IE,1,Residents!$IF:$IF,0),"")</f>
        <v/>
      </c>
      <c r="L30" t="str">
        <f>IF(L$5,COUNTIFS(Residents!$G:$G,$A30,Residents!$ID:$ID,1,Residents!$IE:$IE,1,Residents!$IF:$IF,0),"")</f>
        <v/>
      </c>
      <c r="M30" t="str">
        <f>IF(M$5,COUNTIFS(Residents!$G:$G,$A30,Residents!$ID:$ID,1,Residents!$IE:$IE,1,Residents!$IF:$IF,0),"")</f>
        <v/>
      </c>
      <c r="N30" t="str">
        <f>IF(N$5,COUNTIFS(Residents!$G:$G,$A30,Residents!$ID:$ID,1,Residents!$IE:$IE,1,Residents!$IF:$IF,0),"")</f>
        <v/>
      </c>
      <c r="O30" t="str">
        <f>IF(O$5,COUNTIFS(Residents!$G:$G,$A30,Residents!$ID:$ID,1,Residents!$IE:$IE,1,Residents!$IF:$IF,0),"")</f>
        <v/>
      </c>
      <c r="P30" t="str">
        <f>IF(P$5,COUNTIFS(Residents!$G:$G,$A30,Residents!$ID:$ID,1,Residents!$IE:$IE,1,Residents!$IF:$IF,0),"")</f>
        <v/>
      </c>
      <c r="Q30" t="str">
        <f>IF(Q$5,COUNTIFS(Residents!$G:$G,$A30,Residents!$ID:$ID,1,Residents!$IE:$IE,1,Residents!$IF:$IF,0),"")</f>
        <v/>
      </c>
      <c r="R30" t="str">
        <f>IF(R$5,COUNTIFS(Residents!$G:$G,$A30,Residents!$ID:$ID,1,Residents!$IE:$IE,1,Residents!$IF:$IF,0),"")</f>
        <v/>
      </c>
    </row>
    <row r="31" spans="1:18" ht="15">
      <c r="A31" t="s">
        <v>40</v>
      </c>
      <c r="B31" t="s">
        <v>453</v>
      </c>
      <c r="E31" t="s">
        <v>465</v>
      </c>
      <c r="F31" t="str">
        <f>IF(F$5,COUNTIFS(Residents!$G:$G,$A31,Residents!$ID:$ID,1,Residents!$IE:$IE,0,Residents!$IF:$IF,1),"")</f>
        <v/>
      </c>
      <c r="G31" t="str">
        <f>IF(G$5,COUNTIFS(Residents!$G:$G,$A31,Residents!$ID:$ID,1,Residents!$IE:$IE,0,Residents!$IF:$IF,1),"")</f>
        <v/>
      </c>
      <c r="H31" t="str">
        <f>IF(H$5,COUNTIFS(Residents!$G:$G,$A31,Residents!$ID:$ID,1,Residents!$IE:$IE,0,Residents!$IF:$IF,1),"")</f>
        <v/>
      </c>
      <c r="I31" t="str">
        <f>IF(I$5,COUNTIFS(Residents!$G:$G,$A31,Residents!$ID:$ID,1,Residents!$IE:$IE,0,Residents!$IF:$IF,1),"")</f>
        <v/>
      </c>
      <c r="J31" t="str">
        <f>IF(J$5,COUNTIFS(Residents!$G:$G,$A31,Residents!$ID:$ID,1,Residents!$IE:$IE,0,Residents!$IF:$IF,1),"")</f>
        <v/>
      </c>
      <c r="K31" t="str">
        <f>IF(K$5,COUNTIFS(Residents!$G:$G,$A31,Residents!$ID:$ID,1,Residents!$IE:$IE,0,Residents!$IF:$IF,1),"")</f>
        <v/>
      </c>
      <c r="L31" t="str">
        <f>IF(L$5,COUNTIFS(Residents!$G:$G,$A31,Residents!$ID:$ID,1,Residents!$IE:$IE,0,Residents!$IF:$IF,1),"")</f>
        <v/>
      </c>
      <c r="M31" t="str">
        <f>IF(M$5,COUNTIFS(Residents!$G:$G,$A31,Residents!$ID:$ID,1,Residents!$IE:$IE,0,Residents!$IF:$IF,1),"")</f>
        <v/>
      </c>
      <c r="N31" t="str">
        <f>IF(N$5,COUNTIFS(Residents!$G:$G,$A31,Residents!$ID:$ID,1,Residents!$IE:$IE,0,Residents!$IF:$IF,1),"")</f>
        <v/>
      </c>
      <c r="O31" t="str">
        <f>IF(O$5,COUNTIFS(Residents!$G:$G,$A31,Residents!$ID:$ID,1,Residents!$IE:$IE,0,Residents!$IF:$IF,1),"")</f>
        <v/>
      </c>
      <c r="P31" t="str">
        <f>IF(P$5,COUNTIFS(Residents!$G:$G,$A31,Residents!$ID:$ID,1,Residents!$IE:$IE,0,Residents!$IF:$IF,1),"")</f>
        <v/>
      </c>
      <c r="Q31" t="str">
        <f>IF(Q$5,COUNTIFS(Residents!$G:$G,$A31,Residents!$ID:$ID,1,Residents!$IE:$IE,0,Residents!$IF:$IF,1),"")</f>
        <v/>
      </c>
      <c r="R31" t="str">
        <f>IF(R$5,COUNTIFS(Residents!$G:$G,$A31,Residents!$ID:$ID,1,Residents!$IE:$IE,0,Residents!$IF:$IF,1),"")</f>
        <v/>
      </c>
    </row>
    <row r="32" spans="1:18" ht="15">
      <c r="A32" t="s">
        <v>40</v>
      </c>
      <c r="B32" t="s">
        <v>44</v>
      </c>
      <c r="E32" t="s">
        <v>465</v>
      </c>
      <c r="F32" t="str">
        <f>IF(F$5,COUNTIFS(Residents!$G:$G,$A32,Residents!$ID:$ID,1,Residents!$IE:$IE,1,Residents!$IF:$IF,1),"")</f>
        <v/>
      </c>
      <c r="G32" t="str">
        <f>IF(G$5,COUNTIFS(Residents!$G:$G,$A32,Residents!$ID:$ID,1,Residents!$IE:$IE,1,Residents!$IF:$IF,1),"")</f>
        <v/>
      </c>
      <c r="H32" t="str">
        <f>IF(H$5,COUNTIFS(Residents!$G:$G,$A32,Residents!$ID:$ID,1,Residents!$IE:$IE,1,Residents!$IF:$IF,1),"")</f>
        <v/>
      </c>
      <c r="I32" t="str">
        <f>IF(I$5,COUNTIFS(Residents!$G:$G,$A32,Residents!$ID:$ID,1,Residents!$IE:$IE,1,Residents!$IF:$IF,1),"")</f>
        <v/>
      </c>
      <c r="J32" t="str">
        <f>IF(J$5,COUNTIFS(Residents!$G:$G,$A32,Residents!$ID:$ID,1,Residents!$IE:$IE,1,Residents!$IF:$IF,1),"")</f>
        <v/>
      </c>
      <c r="K32" t="str">
        <f>IF(K$5,COUNTIFS(Residents!$G:$G,$A32,Residents!$ID:$ID,1,Residents!$IE:$IE,1,Residents!$IF:$IF,1),"")</f>
        <v/>
      </c>
      <c r="L32" t="str">
        <f>IF(L$5,COUNTIFS(Residents!$G:$G,$A32,Residents!$ID:$ID,1,Residents!$IE:$IE,1,Residents!$IF:$IF,1),"")</f>
        <v/>
      </c>
      <c r="M32" t="str">
        <f>IF(M$5,COUNTIFS(Residents!$G:$G,$A32,Residents!$ID:$ID,1,Residents!$IE:$IE,1,Residents!$IF:$IF,1),"")</f>
        <v/>
      </c>
      <c r="N32" t="str">
        <f>IF(N$5,COUNTIFS(Residents!$G:$G,$A32,Residents!$ID:$ID,1,Residents!$IE:$IE,1,Residents!$IF:$IF,1),"")</f>
        <v/>
      </c>
      <c r="O32" t="str">
        <f>IF(O$5,COUNTIFS(Residents!$G:$G,$A32,Residents!$ID:$ID,1,Residents!$IE:$IE,1,Residents!$IF:$IF,1),"")</f>
        <v/>
      </c>
      <c r="P32" t="str">
        <f>IF(P$5,COUNTIFS(Residents!$G:$G,$A32,Residents!$ID:$ID,1,Residents!$IE:$IE,1,Residents!$IF:$IF,1),"")</f>
        <v/>
      </c>
      <c r="Q32" t="str">
        <f>IF(Q$5,COUNTIFS(Residents!$G:$G,$A32,Residents!$ID:$ID,1,Residents!$IE:$IE,1,Residents!$IF:$IF,1),"")</f>
        <v/>
      </c>
      <c r="R32" t="str">
        <f>IF(R$5,COUNTIFS(Residents!$G:$G,$A32,Residents!$ID:$ID,1,Residents!$IE:$IE,1,Residents!$IF:$IF,1),"")</f>
        <v/>
      </c>
    </row>
    <row r="33" spans="1:18" ht="15">
      <c r="A33" t="s">
        <v>40</v>
      </c>
      <c r="B33" t="s">
        <v>861</v>
      </c>
      <c r="E33" t="s">
        <v>465</v>
      </c>
      <c r="F33" t="str">
        <f aca="true" t="shared" si="11" ref="F33:Q33">IF(F$5,F30+F32,"")</f>
        <v/>
      </c>
      <c r="G33" t="str">
        <f t="shared" si="11"/>
        <v/>
      </c>
      <c r="H33" t="str">
        <f t="shared" si="11"/>
        <v/>
      </c>
      <c r="I33" t="str">
        <f t="shared" si="11"/>
        <v/>
      </c>
      <c r="J33" t="str">
        <f t="shared" si="11"/>
        <v/>
      </c>
      <c r="K33" t="str">
        <f t="shared" si="11"/>
        <v/>
      </c>
      <c r="L33" t="str">
        <f t="shared" si="11"/>
        <v/>
      </c>
      <c r="M33" t="str">
        <f t="shared" si="11"/>
        <v/>
      </c>
      <c r="N33" t="str">
        <f t="shared" si="11"/>
        <v/>
      </c>
      <c r="O33" t="str">
        <f t="shared" si="11"/>
        <v/>
      </c>
      <c r="P33" t="str">
        <f t="shared" si="11"/>
        <v/>
      </c>
      <c r="Q33" t="str">
        <f t="shared" si="11"/>
        <v/>
      </c>
      <c r="R33" t="str">
        <f>IF(R$5,R30+R32,"")</f>
        <v/>
      </c>
    </row>
    <row r="34" spans="1:18" ht="15">
      <c r="A34" t="s">
        <v>40</v>
      </c>
      <c r="B34" t="s">
        <v>862</v>
      </c>
      <c r="E34" t="s">
        <v>465</v>
      </c>
      <c r="F34" t="str">
        <f aca="true" t="shared" si="12" ref="F34:Q34">IF(F$5,F31+F32,"")</f>
        <v/>
      </c>
      <c r="G34" t="str">
        <f t="shared" si="12"/>
        <v/>
      </c>
      <c r="H34" t="str">
        <f t="shared" si="12"/>
        <v/>
      </c>
      <c r="I34" t="str">
        <f t="shared" si="12"/>
        <v/>
      </c>
      <c r="J34" t="str">
        <f t="shared" si="12"/>
        <v/>
      </c>
      <c r="K34" t="str">
        <f t="shared" si="12"/>
        <v/>
      </c>
      <c r="L34" t="str">
        <f t="shared" si="12"/>
        <v/>
      </c>
      <c r="M34" t="str">
        <f t="shared" si="12"/>
        <v/>
      </c>
      <c r="N34" t="str">
        <f t="shared" si="12"/>
        <v/>
      </c>
      <c r="O34" t="str">
        <f t="shared" si="12"/>
        <v/>
      </c>
      <c r="P34" t="str">
        <f t="shared" si="12"/>
        <v/>
      </c>
      <c r="Q34" t="str">
        <f t="shared" si="12"/>
        <v/>
      </c>
      <c r="R34" t="str">
        <f>IF(R$5,R31+R32,"")</f>
        <v/>
      </c>
    </row>
    <row r="35" spans="1:18" ht="15">
      <c r="A35" t="s">
        <v>40</v>
      </c>
      <c r="B35" t="s">
        <v>384</v>
      </c>
      <c r="E35" t="s">
        <v>465</v>
      </c>
      <c r="F35" t="str">
        <f>IF(F$5,COUNTIFS(Residents!$G:$G,$A35,Residents!$ID:$ID,1,Residents!$IH:$IH,1),"")</f>
        <v/>
      </c>
      <c r="G35" t="str">
        <f>IF(G$5,COUNTIFS(Residents!$G:$G,$A35,Residents!$ID:$ID,1,Residents!$IH:$IH,1),"")</f>
        <v/>
      </c>
      <c r="H35" t="str">
        <f>IF(H$5,COUNTIFS(Residents!$G:$G,$A35,Residents!$ID:$ID,1,Residents!$IH:$IH,1),"")</f>
        <v/>
      </c>
      <c r="I35" t="str">
        <f>IF(I$5,COUNTIFS(Residents!$G:$G,$A35,Residents!$ID:$ID,1,Residents!$IH:$IH,1),"")</f>
        <v/>
      </c>
      <c r="J35" t="str">
        <f>IF(J$5,COUNTIFS(Residents!$G:$G,$A35,Residents!$ID:$ID,1,Residents!$IH:$IH,1),"")</f>
        <v/>
      </c>
      <c r="K35" t="str">
        <f>IF(K$5,COUNTIFS(Residents!$G:$G,$A35,Residents!$ID:$ID,1,Residents!$IH:$IH,1),"")</f>
        <v/>
      </c>
      <c r="L35" t="str">
        <f>IF(L$5,COUNTIFS(Residents!$G:$G,$A35,Residents!$ID:$ID,1,Residents!$IH:$IH,1),"")</f>
        <v/>
      </c>
      <c r="M35" t="str">
        <f>IF(M$5,COUNTIFS(Residents!$G:$G,$A35,Residents!$ID:$ID,1,Residents!$IH:$IH,1),"")</f>
        <v/>
      </c>
      <c r="N35" t="str">
        <f>IF(N$5,COUNTIFS(Residents!$G:$G,$A35,Residents!$ID:$ID,1,Residents!$IH:$IH,1),"")</f>
        <v/>
      </c>
      <c r="O35" t="str">
        <f>IF(O$5,COUNTIFS(Residents!$G:$G,$A35,Residents!$ID:$ID,1,Residents!$IH:$IH,1),"")</f>
        <v/>
      </c>
      <c r="P35" t="str">
        <f>IF(P$5,COUNTIFS(Residents!$G:$G,$A35,Residents!$ID:$ID,1,Residents!$IH:$IH,1),"")</f>
        <v/>
      </c>
      <c r="Q35" t="str">
        <f>IF(Q$5,COUNTIFS(Residents!$G:$G,$A35,Residents!$ID:$ID,1,Residents!$IH:$IH,1),"")</f>
        <v/>
      </c>
      <c r="R35" t="str">
        <f>IF(R$5,COUNTIFS(Residents!$G:$G,$A35,Residents!$ID:$ID,1,Residents!$IH:$IH,1),"")</f>
        <v/>
      </c>
    </row>
    <row r="36" spans="1:18" ht="15">
      <c r="A36" t="s">
        <v>40</v>
      </c>
      <c r="B36" t="s">
        <v>385</v>
      </c>
      <c r="E36" t="s">
        <v>466</v>
      </c>
      <c r="F36" t="str">
        <f>IF(F$5,COUNTIFS(Medications!$AN:$AN,ReportAndOutcomeHistory!$A36,Medications!$AP:$AP,1),"")</f>
        <v/>
      </c>
      <c r="G36" t="str">
        <f>IF(G$5,COUNTIFS(Medications!$AN:$AN,ReportAndOutcomeHistory!$A36,Medications!$AP:$AP,1),"")</f>
        <v/>
      </c>
      <c r="H36" t="str">
        <f>IF(H$5,COUNTIFS(Medications!$AN:$AN,ReportAndOutcomeHistory!$A36,Medications!$AP:$AP,1),"")</f>
        <v/>
      </c>
      <c r="I36" t="str">
        <f>IF(I$5,COUNTIFS(Medications!$AN:$AN,ReportAndOutcomeHistory!$A36,Medications!$AP:$AP,1),"")</f>
        <v/>
      </c>
      <c r="J36" t="str">
        <f>IF(J$5,COUNTIFS(Medications!$AN:$AN,ReportAndOutcomeHistory!$A36,Medications!$AP:$AP,1),"")</f>
        <v/>
      </c>
      <c r="K36" t="str">
        <f>IF(K$5,COUNTIFS(Medications!$AN:$AN,ReportAndOutcomeHistory!$A36,Medications!$AP:$AP,1),"")</f>
        <v/>
      </c>
      <c r="L36" t="str">
        <f>IF(L$5,COUNTIFS(Medications!$AN:$AN,ReportAndOutcomeHistory!$A36,Medications!$AP:$AP,1),"")</f>
        <v/>
      </c>
      <c r="M36" t="str">
        <f>IF(M$5,COUNTIFS(Medications!$AN:$AN,ReportAndOutcomeHistory!$A36,Medications!$AP:$AP,1),"")</f>
        <v/>
      </c>
      <c r="N36" t="str">
        <f>IF(N$5,COUNTIFS(Medications!$AN:$AN,ReportAndOutcomeHistory!$A36,Medications!$AP:$AP,1),"")</f>
        <v/>
      </c>
      <c r="O36" t="str">
        <f>IF(O$5,COUNTIFS(Medications!$AN:$AN,ReportAndOutcomeHistory!$A36,Medications!$AP:$AP,1),"")</f>
        <v/>
      </c>
      <c r="P36" t="str">
        <f>IF(P$5,COUNTIFS(Medications!$AN:$AN,ReportAndOutcomeHistory!$A36,Medications!$AP:$AP,1),"")</f>
        <v/>
      </c>
      <c r="Q36" t="str">
        <f>IF(Q$5,COUNTIFS(Medications!$AN:$AN,ReportAndOutcomeHistory!$A36,Medications!$AP:$AP,1),"")</f>
        <v/>
      </c>
      <c r="R36" t="str">
        <f>IF(R$5,COUNTIFS(Medications!$AN:$AN,ReportAndOutcomeHistory!$A36,Medications!$AP:$AP,1),"")</f>
        <v/>
      </c>
    </row>
    <row r="37" spans="1:18" ht="15">
      <c r="A37" t="s">
        <v>40</v>
      </c>
      <c r="B37" t="s">
        <v>386</v>
      </c>
      <c r="E37" t="s">
        <v>465</v>
      </c>
      <c r="F37" t="str">
        <f>IF(F$5,COUNTIFS(Residents!$G:$G,$A37,Residents!$ID:$ID,1,Residents!$IJ:$IJ,1,Residents!$IQ:$IQ,1),"")</f>
        <v/>
      </c>
      <c r="G37" t="str">
        <f>IF(G$5,COUNTIFS(Residents!$G:$G,$A37,Residents!$ID:$ID,1,Residents!$IJ:$IJ,1,Residents!$IQ:$IQ,1),"")</f>
        <v/>
      </c>
      <c r="H37" t="str">
        <f>IF(H$5,COUNTIFS(Residents!$G:$G,$A37,Residents!$ID:$ID,1,Residents!$IJ:$IJ,1,Residents!$IQ:$IQ,1),"")</f>
        <v/>
      </c>
      <c r="I37" t="str">
        <f>IF(I$5,COUNTIFS(Residents!$G:$G,$A37,Residents!$ID:$ID,1,Residents!$IJ:$IJ,1,Residents!$IQ:$IQ,1),"")</f>
        <v/>
      </c>
      <c r="J37" t="str">
        <f>IF(J$5,COUNTIFS(Residents!$G:$G,$A37,Residents!$ID:$ID,1,Residents!$IJ:$IJ,1,Residents!$IQ:$IQ,1),"")</f>
        <v/>
      </c>
      <c r="K37" t="str">
        <f>IF(K$5,COUNTIFS(Residents!$G:$G,$A37,Residents!$ID:$ID,1,Residents!$IJ:$IJ,1,Residents!$IQ:$IQ,1),"")</f>
        <v/>
      </c>
      <c r="L37" t="str">
        <f>IF(L$5,COUNTIFS(Residents!$G:$G,$A37,Residents!$ID:$ID,1,Residents!$IJ:$IJ,1,Residents!$IQ:$IQ,1),"")</f>
        <v/>
      </c>
      <c r="M37" t="str">
        <f>IF(M$5,COUNTIFS(Residents!$G:$G,$A37,Residents!$ID:$ID,1,Residents!$IJ:$IJ,1,Residents!$IQ:$IQ,1),"")</f>
        <v/>
      </c>
      <c r="N37" t="str">
        <f>IF(N$5,COUNTIFS(Residents!$G:$G,$A37,Residents!$ID:$ID,1,Residents!$IJ:$IJ,1,Residents!$IQ:$IQ,1),"")</f>
        <v/>
      </c>
      <c r="O37" t="str">
        <f>IF(O$5,COUNTIFS(Residents!$G:$G,$A37,Residents!$ID:$ID,1,Residents!$IJ:$IJ,1,Residents!$IQ:$IQ,1),"")</f>
        <v/>
      </c>
      <c r="P37" t="str">
        <f>IF(P$5,COUNTIFS(Residents!$G:$G,$A37,Residents!$ID:$ID,1,Residents!$IJ:$IJ,1,Residents!$IQ:$IQ,1),"")</f>
        <v/>
      </c>
      <c r="Q37" t="str">
        <f>IF(Q$5,COUNTIFS(Residents!$G:$G,$A37,Residents!$ID:$ID,1,Residents!$IJ:$IJ,1,Residents!$IQ:$IQ,1),"")</f>
        <v/>
      </c>
      <c r="R37" t="str">
        <f>IF(R$5,COUNTIFS(Residents!$G:$G,$A37,Residents!$ID:$ID,1,Residents!$IJ:$IJ,1,Residents!$IQ:$IQ,1),"")</f>
        <v/>
      </c>
    </row>
    <row r="38" spans="1:18" ht="15">
      <c r="A38" t="s">
        <v>40</v>
      </c>
      <c r="B38" t="s">
        <v>387</v>
      </c>
      <c r="E38" t="s">
        <v>465</v>
      </c>
      <c r="F38" t="str">
        <f>IF(F$5,COUNTIFS(Residents!$G:$G,$A38,Residents!$ID:$ID,1,Residents!$IJ:$IJ,1,Residents!$IQ:$IQ,1,Residents!$IR:$IR,1),"")</f>
        <v/>
      </c>
      <c r="G38" t="str">
        <f>IF(G$5,COUNTIFS(Residents!$G:$G,$A38,Residents!$ID:$ID,1,Residents!$IJ:$IJ,1,Residents!$IQ:$IQ,1,Residents!$IR:$IR,1),"")</f>
        <v/>
      </c>
      <c r="H38" t="str">
        <f>IF(H$5,COUNTIFS(Residents!$G:$G,$A38,Residents!$ID:$ID,1,Residents!$IJ:$IJ,1,Residents!$IQ:$IQ,1,Residents!$IR:$IR,1),"")</f>
        <v/>
      </c>
      <c r="I38" t="str">
        <f>IF(I$5,COUNTIFS(Residents!$G:$G,$A38,Residents!$ID:$ID,1,Residents!$IJ:$IJ,1,Residents!$IQ:$IQ,1,Residents!$IR:$IR,1),"")</f>
        <v/>
      </c>
      <c r="J38" t="str">
        <f>IF(J$5,COUNTIFS(Residents!$G:$G,$A38,Residents!$ID:$ID,1,Residents!$IJ:$IJ,1,Residents!$IQ:$IQ,1,Residents!$IR:$IR,1),"")</f>
        <v/>
      </c>
      <c r="K38" t="str">
        <f>IF(K$5,COUNTIFS(Residents!$G:$G,$A38,Residents!$ID:$ID,1,Residents!$IJ:$IJ,1,Residents!$IQ:$IQ,1,Residents!$IR:$IR,1),"")</f>
        <v/>
      </c>
      <c r="L38" t="str">
        <f>IF(L$5,COUNTIFS(Residents!$G:$G,$A38,Residents!$ID:$ID,1,Residents!$IJ:$IJ,1,Residents!$IQ:$IQ,1,Residents!$IR:$IR,1),"")</f>
        <v/>
      </c>
      <c r="M38" t="str">
        <f>IF(M$5,COUNTIFS(Residents!$G:$G,$A38,Residents!$ID:$ID,1,Residents!$IJ:$IJ,1,Residents!$IQ:$IQ,1,Residents!$IR:$IR,1),"")</f>
        <v/>
      </c>
      <c r="N38" t="str">
        <f>IF(N$5,COUNTIFS(Residents!$G:$G,$A38,Residents!$ID:$ID,1,Residents!$IJ:$IJ,1,Residents!$IQ:$IQ,1,Residents!$IR:$IR,1),"")</f>
        <v/>
      </c>
      <c r="O38" t="str">
        <f>IF(O$5,COUNTIFS(Residents!$G:$G,$A38,Residents!$ID:$ID,1,Residents!$IJ:$IJ,1,Residents!$IQ:$IQ,1,Residents!$IR:$IR,1),"")</f>
        <v/>
      </c>
      <c r="P38" t="str">
        <f>IF(P$5,COUNTIFS(Residents!$G:$G,$A38,Residents!$ID:$ID,1,Residents!$IJ:$IJ,1,Residents!$IQ:$IQ,1,Residents!$IR:$IR,1),"")</f>
        <v/>
      </c>
      <c r="Q38" t="str">
        <f>IF(Q$5,COUNTIFS(Residents!$G:$G,$A38,Residents!$ID:$ID,1,Residents!$IJ:$IJ,1,Residents!$IQ:$IQ,1,Residents!$IR:$IR,1),"")</f>
        <v/>
      </c>
      <c r="R38" t="str">
        <f>IF(R$5,COUNTIFS(Residents!$G:$G,$A38,Residents!$ID:$ID,1,Residents!$IJ:$IJ,1,Residents!$IQ:$IQ,1,Residents!$IR:$IR,1),"")</f>
        <v/>
      </c>
    </row>
    <row r="39" spans="1:18" ht="15">
      <c r="A39" t="s">
        <v>40</v>
      </c>
      <c r="B39" t="s">
        <v>388</v>
      </c>
      <c r="E39" t="s">
        <v>465</v>
      </c>
      <c r="F39" t="str">
        <f>IF(F$5,COUNTIFS(Residents!$G:$G,$A39,Residents!$ID:$ID,1,Residents!$IM:$IM,1),"")</f>
        <v/>
      </c>
      <c r="G39" t="str">
        <f>IF(G$5,COUNTIFS(Residents!$G:$G,$A39,Residents!$ID:$ID,1,Residents!$IM:$IM,1),"")</f>
        <v/>
      </c>
      <c r="H39" t="str">
        <f>IF(H$5,COUNTIFS(Residents!$G:$G,$A39,Residents!$ID:$ID,1,Residents!$IM:$IM,1),"")</f>
        <v/>
      </c>
      <c r="I39" t="str">
        <f>IF(I$5,COUNTIFS(Residents!$G:$G,$A39,Residents!$ID:$ID,1,Residents!$IM:$IM,1),"")</f>
        <v/>
      </c>
      <c r="J39" t="str">
        <f>IF(J$5,COUNTIFS(Residents!$G:$G,$A39,Residents!$ID:$ID,1,Residents!$IM:$IM,1),"")</f>
        <v/>
      </c>
      <c r="K39" t="str">
        <f>IF(K$5,COUNTIFS(Residents!$G:$G,$A39,Residents!$ID:$ID,1,Residents!$IM:$IM,1),"")</f>
        <v/>
      </c>
      <c r="L39" t="str">
        <f>IF(L$5,COUNTIFS(Residents!$G:$G,$A39,Residents!$ID:$ID,1,Residents!$IM:$IM,1),"")</f>
        <v/>
      </c>
      <c r="M39" t="str">
        <f>IF(M$5,COUNTIFS(Residents!$G:$G,$A39,Residents!$ID:$ID,1,Residents!$IM:$IM,1),"")</f>
        <v/>
      </c>
      <c r="N39" t="str">
        <f>IF(N$5,COUNTIFS(Residents!$G:$G,$A39,Residents!$ID:$ID,1,Residents!$IM:$IM,1),"")</f>
        <v/>
      </c>
      <c r="O39" t="str">
        <f>IF(O$5,COUNTIFS(Residents!$G:$G,$A39,Residents!$ID:$ID,1,Residents!$IM:$IM,1),"")</f>
        <v/>
      </c>
      <c r="P39" t="str">
        <f>IF(P$5,COUNTIFS(Residents!$G:$G,$A39,Residents!$ID:$ID,1,Residents!$IM:$IM,1),"")</f>
        <v/>
      </c>
      <c r="Q39" t="str">
        <f>IF(Q$5,COUNTIFS(Residents!$G:$G,$A39,Residents!$ID:$ID,1,Residents!$IM:$IM,1),"")</f>
        <v/>
      </c>
      <c r="R39" t="str">
        <f>IF(R$5,COUNTIFS(Residents!$G:$G,$A39,Residents!$ID:$ID,1,Residents!$IM:$IM,1),"")</f>
        <v/>
      </c>
    </row>
    <row r="40" spans="1:18" ht="15">
      <c r="A40" t="s">
        <v>40</v>
      </c>
      <c r="B40" t="s">
        <v>379</v>
      </c>
      <c r="E40" t="s">
        <v>465</v>
      </c>
      <c r="F40" s="10" t="str">
        <f aca="true" t="shared" si="13" ref="F40:Q40">IF(F$5,IF(F29=0,"n/a",F37/F29),"")</f>
        <v/>
      </c>
      <c r="G40" s="10" t="str">
        <f t="shared" si="13"/>
        <v/>
      </c>
      <c r="H40" s="10" t="str">
        <f t="shared" si="13"/>
        <v/>
      </c>
      <c r="I40" s="10" t="str">
        <f t="shared" si="13"/>
        <v/>
      </c>
      <c r="J40" s="10" t="str">
        <f t="shared" si="13"/>
        <v/>
      </c>
      <c r="K40" s="10" t="str">
        <f t="shared" si="13"/>
        <v/>
      </c>
      <c r="L40" s="10" t="str">
        <f t="shared" si="13"/>
        <v/>
      </c>
      <c r="M40" s="10" t="str">
        <f t="shared" si="13"/>
        <v/>
      </c>
      <c r="N40" s="10" t="str">
        <f t="shared" si="13"/>
        <v/>
      </c>
      <c r="O40" s="10" t="str">
        <f t="shared" si="13"/>
        <v/>
      </c>
      <c r="P40" s="10" t="str">
        <f t="shared" si="13"/>
        <v/>
      </c>
      <c r="Q40" s="10" t="str">
        <f t="shared" si="13"/>
        <v/>
      </c>
      <c r="R40" s="10" t="str">
        <f>IF(R$5,IF(R29=0,"n/a",R37/R29),"")</f>
        <v/>
      </c>
    </row>
    <row r="41" spans="1:18" ht="15">
      <c r="A41" t="s">
        <v>40</v>
      </c>
      <c r="B41" t="s">
        <v>380</v>
      </c>
      <c r="E41" t="s">
        <v>465</v>
      </c>
      <c r="F41" s="10" t="str">
        <f aca="true" t="shared" si="14" ref="F41:Q41">IF(F$5,IF(F29=0,"n/a",F38/F29),"")</f>
        <v/>
      </c>
      <c r="G41" s="10" t="str">
        <f t="shared" si="14"/>
        <v/>
      </c>
      <c r="H41" s="10" t="str">
        <f t="shared" si="14"/>
        <v/>
      </c>
      <c r="I41" s="10" t="str">
        <f t="shared" si="14"/>
        <v/>
      </c>
      <c r="J41" s="10" t="str">
        <f t="shared" si="14"/>
        <v/>
      </c>
      <c r="K41" s="10" t="str">
        <f t="shared" si="14"/>
        <v/>
      </c>
      <c r="L41" s="10" t="str">
        <f t="shared" si="14"/>
        <v/>
      </c>
      <c r="M41" s="10" t="str">
        <f t="shared" si="14"/>
        <v/>
      </c>
      <c r="N41" s="10" t="str">
        <f t="shared" si="14"/>
        <v/>
      </c>
      <c r="O41" s="10" t="str">
        <f t="shared" si="14"/>
        <v/>
      </c>
      <c r="P41" s="10" t="str">
        <f t="shared" si="14"/>
        <v/>
      </c>
      <c r="Q41" s="10" t="str">
        <f t="shared" si="14"/>
        <v/>
      </c>
      <c r="R41" s="10" t="str">
        <f>IF(R$5,IF(R29=0,"n/a",R38/R29),"")</f>
        <v/>
      </c>
    </row>
    <row r="42" spans="1:18" ht="15">
      <c r="A42" t="s">
        <v>40</v>
      </c>
      <c r="B42" t="s">
        <v>381</v>
      </c>
      <c r="E42" t="s">
        <v>465</v>
      </c>
      <c r="F42" s="10" t="str">
        <f aca="true" t="shared" si="15" ref="F42:Q42">IF(F$5,IF(F29=0,"n/a",F39/F29),"")</f>
        <v/>
      </c>
      <c r="G42" s="10" t="str">
        <f t="shared" si="15"/>
        <v/>
      </c>
      <c r="H42" s="10" t="str">
        <f t="shared" si="15"/>
        <v/>
      </c>
      <c r="I42" s="10" t="str">
        <f t="shared" si="15"/>
        <v/>
      </c>
      <c r="J42" s="10" t="str">
        <f t="shared" si="15"/>
        <v/>
      </c>
      <c r="K42" s="10" t="str">
        <f t="shared" si="15"/>
        <v/>
      </c>
      <c r="L42" s="10" t="str">
        <f t="shared" si="15"/>
        <v/>
      </c>
      <c r="M42" s="10" t="str">
        <f t="shared" si="15"/>
        <v/>
      </c>
      <c r="N42" s="10" t="str">
        <f t="shared" si="15"/>
        <v/>
      </c>
      <c r="O42" s="10" t="str">
        <f t="shared" si="15"/>
        <v/>
      </c>
      <c r="P42" s="10" t="str">
        <f t="shared" si="15"/>
        <v/>
      </c>
      <c r="Q42" s="10" t="str">
        <f t="shared" si="15"/>
        <v/>
      </c>
      <c r="R42" s="10" t="str">
        <f>IF(R$5,IF(R29=0,"n/a",R39/R29),"")</f>
        <v/>
      </c>
    </row>
    <row r="43" spans="1:18" ht="15">
      <c r="A43" t="s">
        <v>40</v>
      </c>
      <c r="B43" t="s">
        <v>450</v>
      </c>
      <c r="E43" t="s">
        <v>466</v>
      </c>
      <c r="F43" t="str">
        <f>IF(F$5,COUNTIFS(Medications!$AN:$AN,$A43,Medications!$AP:$AP,1,Medications!$O:$O,1,Medications!$D:$D,"Antipsychotics/Antimanic Agents"),"")</f>
        <v/>
      </c>
      <c r="G43" t="str">
        <f>IF(G$5,COUNTIFS(Medications!$AN:$AN,$A43,Medications!$AP:$AP,1,Medications!$O:$O,1,Medications!$D:$D,"Antipsychotics/Antimanic Agents"),"")</f>
        <v/>
      </c>
      <c r="H43" t="str">
        <f>IF(H$5,COUNTIFS(Medications!$AN:$AN,$A43,Medications!$AP:$AP,1,Medications!$O:$O,1,Medications!$D:$D,"Antipsychotics/Antimanic Agents"),"")</f>
        <v/>
      </c>
      <c r="I43" t="str">
        <f>IF(I$5,COUNTIFS(Medications!$AN:$AN,$A43,Medications!$AP:$AP,1,Medications!$O:$O,1,Medications!$D:$D,"Antipsychotics/Antimanic Agents"),"")</f>
        <v/>
      </c>
      <c r="J43" t="str">
        <f>IF(J$5,COUNTIFS(Medications!$AN:$AN,$A43,Medications!$AP:$AP,1,Medications!$O:$O,1,Medications!$D:$D,"Antipsychotics/Antimanic Agents"),"")</f>
        <v/>
      </c>
      <c r="K43" t="str">
        <f>IF(K$5,COUNTIFS(Medications!$AN:$AN,$A43,Medications!$AP:$AP,1,Medications!$O:$O,1,Medications!$D:$D,"Antipsychotics/Antimanic Agents"),"")</f>
        <v/>
      </c>
      <c r="L43" t="str">
        <f>IF(L$5,COUNTIFS(Medications!$AN:$AN,$A43,Medications!$AP:$AP,1,Medications!$O:$O,1,Medications!$D:$D,"Antipsychotics/Antimanic Agents"),"")</f>
        <v/>
      </c>
      <c r="M43" t="str">
        <f>IF(M$5,COUNTIFS(Medications!$AN:$AN,$A43,Medications!$AP:$AP,1,Medications!$O:$O,1,Medications!$D:$D,"Antipsychotics/Antimanic Agents"),"")</f>
        <v/>
      </c>
      <c r="N43" t="str">
        <f>IF(N$5,COUNTIFS(Medications!$AN:$AN,$A43,Medications!$AP:$AP,1,Medications!$O:$O,1,Medications!$D:$D,"Antipsychotics/Antimanic Agents"),"")</f>
        <v/>
      </c>
      <c r="O43" t="str">
        <f>IF(O$5,COUNTIFS(Medications!$AN:$AN,$A43,Medications!$AP:$AP,1,Medications!$O:$O,1,Medications!$D:$D,"Antipsychotics/Antimanic Agents"),"")</f>
        <v/>
      </c>
      <c r="P43" t="str">
        <f>IF(P$5,COUNTIFS(Medications!$AN:$AN,$A43,Medications!$AP:$AP,1,Medications!$O:$O,1,Medications!$D:$D,"Antipsychotics/Antimanic Agents"),"")</f>
        <v/>
      </c>
      <c r="Q43" t="str">
        <f>IF(Q$5,COUNTIFS(Medications!$AN:$AN,$A43,Medications!$AP:$AP,1,Medications!$O:$O,1,Medications!$D:$D,"Antipsychotics/Antimanic Agents"),"")</f>
        <v/>
      </c>
      <c r="R43" t="str">
        <f>IF(R$5,COUNTIFS(Medications!$AN:$AN,$A43,Medications!$AP:$AP,1,Medications!$O:$O,1,Medications!$D:$D,"Antipsychotics/Antimanic Agents"),"")</f>
        <v/>
      </c>
    </row>
    <row r="44" spans="1:18" ht="15">
      <c r="A44" t="s">
        <v>40</v>
      </c>
      <c r="B44" t="s">
        <v>463</v>
      </c>
      <c r="E44" t="s">
        <v>465</v>
      </c>
      <c r="F44" t="str">
        <f>IF(F$5,COUNTIFS(Residents!$G:$G,$A44,Residents!$ID:$ID,1,Residents!$II:$II,1),"")</f>
        <v/>
      </c>
      <c r="G44" t="str">
        <f>IF(G$5,COUNTIFS(Residents!$G:$G,$A44,Residents!$ID:$ID,1,Residents!$II:$II,1),"")</f>
        <v/>
      </c>
      <c r="H44" t="str">
        <f>IF(H$5,COUNTIFS(Residents!$G:$G,$A44,Residents!$ID:$ID,1,Residents!$II:$II,1),"")</f>
        <v/>
      </c>
      <c r="I44" t="str">
        <f>IF(I$5,COUNTIFS(Residents!$G:$G,$A44,Residents!$ID:$ID,1,Residents!$II:$II,1),"")</f>
        <v/>
      </c>
      <c r="J44" t="str">
        <f>IF(J$5,COUNTIFS(Residents!$G:$G,$A44,Residents!$ID:$ID,1,Residents!$II:$II,1),"")</f>
        <v/>
      </c>
      <c r="K44" t="str">
        <f>IF(K$5,COUNTIFS(Residents!$G:$G,$A44,Residents!$ID:$ID,1,Residents!$II:$II,1),"")</f>
        <v/>
      </c>
      <c r="L44" t="str">
        <f>IF(L$5,COUNTIFS(Residents!$G:$G,$A44,Residents!$ID:$ID,1,Residents!$II:$II,1),"")</f>
        <v/>
      </c>
      <c r="M44" t="str">
        <f>IF(M$5,COUNTIFS(Residents!$G:$G,$A44,Residents!$ID:$ID,1,Residents!$II:$II,1),"")</f>
        <v/>
      </c>
      <c r="N44" t="str">
        <f>IF(N$5,COUNTIFS(Residents!$G:$G,$A44,Residents!$ID:$ID,1,Residents!$II:$II,1),"")</f>
        <v/>
      </c>
      <c r="O44" t="str">
        <f>IF(O$5,COUNTIFS(Residents!$G:$G,$A44,Residents!$ID:$ID,1,Residents!$II:$II,1),"")</f>
        <v/>
      </c>
      <c r="P44" t="str">
        <f>IF(P$5,COUNTIFS(Residents!$G:$G,$A44,Residents!$ID:$ID,1,Residents!$II:$II,1),"")</f>
        <v/>
      </c>
      <c r="Q44" t="str">
        <f>IF(Q$5,COUNTIFS(Residents!$G:$G,$A44,Residents!$ID:$ID,1,Residents!$II:$II,1),"")</f>
        <v/>
      </c>
      <c r="R44" t="str">
        <f>IF(R$5,COUNTIFS(Residents!$G:$G,$A44,Residents!$ID:$ID,1,Residents!$II:$II,1),"")</f>
        <v/>
      </c>
    </row>
    <row r="45" spans="1:18" ht="15">
      <c r="A45" t="s">
        <v>40</v>
      </c>
      <c r="B45" t="s">
        <v>382</v>
      </c>
      <c r="E45" t="s">
        <v>465</v>
      </c>
      <c r="F45" s="10" t="str">
        <f aca="true" t="shared" si="16" ref="F45:Q45">IF(F$5,IF(F35=0,"n/a",F44/F35),"")</f>
        <v/>
      </c>
      <c r="G45" s="10" t="str">
        <f t="shared" si="16"/>
        <v/>
      </c>
      <c r="H45" s="10" t="str">
        <f t="shared" si="16"/>
        <v/>
      </c>
      <c r="I45" s="10" t="str">
        <f t="shared" si="16"/>
        <v/>
      </c>
      <c r="J45" s="10" t="str">
        <f t="shared" si="16"/>
        <v/>
      </c>
      <c r="K45" s="10" t="str">
        <f t="shared" si="16"/>
        <v/>
      </c>
      <c r="L45" s="10" t="str">
        <f t="shared" si="16"/>
        <v/>
      </c>
      <c r="M45" s="10" t="str">
        <f t="shared" si="16"/>
        <v/>
      </c>
      <c r="N45" s="10" t="str">
        <f t="shared" si="16"/>
        <v/>
      </c>
      <c r="O45" s="10" t="str">
        <f t="shared" si="16"/>
        <v/>
      </c>
      <c r="P45" s="10" t="str">
        <f t="shared" si="16"/>
        <v/>
      </c>
      <c r="Q45" s="10" t="str">
        <f t="shared" si="16"/>
        <v/>
      </c>
      <c r="R45" s="10" t="str">
        <f>IF(R$5,IF(R35=0,"n/a",R44/R35),"")</f>
        <v/>
      </c>
    </row>
    <row r="46" spans="1:18" ht="15">
      <c r="A46" t="s">
        <v>40</v>
      </c>
      <c r="B46" t="s">
        <v>389</v>
      </c>
      <c r="E46" t="s">
        <v>465</v>
      </c>
      <c r="F46" t="str">
        <f>IF(F$5,COUNTIFS(Residents!$G:$G,$A46,Residents!$ID:$ID,1,Residents!$IE:$IE,1,Residents!$IH:$IH,0),"")</f>
        <v/>
      </c>
      <c r="G46" t="str">
        <f>IF(G$5,COUNTIFS(Residents!$G:$G,$A46,Residents!$ID:$ID,1,Residents!$IE:$IE,1,Residents!$IH:$IH,0),"")</f>
        <v/>
      </c>
      <c r="H46" t="str">
        <f>IF(H$5,COUNTIFS(Residents!$G:$G,$A46,Residents!$ID:$ID,1,Residents!$IE:$IE,1,Residents!$IH:$IH,0),"")</f>
        <v/>
      </c>
      <c r="I46" t="str">
        <f>IF(I$5,COUNTIFS(Residents!$G:$G,$A46,Residents!$ID:$ID,1,Residents!$IE:$IE,1,Residents!$IH:$IH,0),"")</f>
        <v/>
      </c>
      <c r="J46" t="str">
        <f>IF(J$5,COUNTIFS(Residents!$G:$G,$A46,Residents!$ID:$ID,1,Residents!$IE:$IE,1,Residents!$IH:$IH,0),"")</f>
        <v/>
      </c>
      <c r="K46" t="str">
        <f>IF(K$5,COUNTIFS(Residents!$G:$G,$A46,Residents!$ID:$ID,1,Residents!$IE:$IE,1,Residents!$IH:$IH,0),"")</f>
        <v/>
      </c>
      <c r="L46" t="str">
        <f>IF(L$5,COUNTIFS(Residents!$G:$G,$A46,Residents!$ID:$ID,1,Residents!$IE:$IE,1,Residents!$IH:$IH,0),"")</f>
        <v/>
      </c>
      <c r="M46" t="str">
        <f>IF(M$5,COUNTIFS(Residents!$G:$G,$A46,Residents!$ID:$ID,1,Residents!$IE:$IE,1,Residents!$IH:$IH,0),"")</f>
        <v/>
      </c>
      <c r="N46" t="str">
        <f>IF(N$5,COUNTIFS(Residents!$G:$G,$A46,Residents!$ID:$ID,1,Residents!$IE:$IE,1,Residents!$IH:$IH,0),"")</f>
        <v/>
      </c>
      <c r="O46" t="str">
        <f>IF(O$5,COUNTIFS(Residents!$G:$G,$A46,Residents!$ID:$ID,1,Residents!$IE:$IE,1,Residents!$IH:$IH,0),"")</f>
        <v/>
      </c>
      <c r="P46" t="str">
        <f>IF(P$5,COUNTIFS(Residents!$G:$G,$A46,Residents!$ID:$ID,1,Residents!$IE:$IE,1,Residents!$IH:$IH,0),"")</f>
        <v/>
      </c>
      <c r="Q46" t="str">
        <f>IF(Q$5,COUNTIFS(Residents!$G:$G,$A46,Residents!$ID:$ID,1,Residents!$IE:$IE,1,Residents!$IH:$IH,0),"")</f>
        <v/>
      </c>
      <c r="R46" t="str">
        <f>IF(R$5,COUNTIFS(Residents!$G:$G,$A46,Residents!$ID:$ID,1,Residents!$IE:$IE,1,Residents!$IH:$IH,0),"")</f>
        <v/>
      </c>
    </row>
    <row r="47" spans="1:18" ht="15">
      <c r="A47" t="s">
        <v>40</v>
      </c>
      <c r="B47" t="s">
        <v>468</v>
      </c>
      <c r="E47" t="s">
        <v>465</v>
      </c>
      <c r="F47" t="str">
        <f>IF(F$5,COUNTIFS(Residents!$G:$G,$A47,Residents!$ID:$ID,1,Residents!$IE:$IE,1),"")</f>
        <v/>
      </c>
      <c r="G47" t="str">
        <f>IF(G$5,COUNTIFS(Residents!$G:$G,$A47,Residents!$ID:$ID,1,Residents!$IE:$IE,1),"")</f>
        <v/>
      </c>
      <c r="H47" t="str">
        <f>IF(H$5,COUNTIFS(Residents!$G:$G,$A47,Residents!$ID:$ID,1,Residents!$IE:$IE,1),"")</f>
        <v/>
      </c>
      <c r="I47" t="str">
        <f>IF(I$5,COUNTIFS(Residents!$G:$G,$A47,Residents!$ID:$ID,1,Residents!$IE:$IE,1),"")</f>
        <v/>
      </c>
      <c r="J47" t="str">
        <f>IF(J$5,COUNTIFS(Residents!$G:$G,$A47,Residents!$ID:$ID,1,Residents!$IE:$IE,1),"")</f>
        <v/>
      </c>
      <c r="K47" t="str">
        <f>IF(K$5,COUNTIFS(Residents!$G:$G,$A47,Residents!$ID:$ID,1,Residents!$IE:$IE,1),"")</f>
        <v/>
      </c>
      <c r="L47" t="str">
        <f>IF(L$5,COUNTIFS(Residents!$G:$G,$A47,Residents!$ID:$ID,1,Residents!$IE:$IE,1),"")</f>
        <v/>
      </c>
      <c r="M47" t="str">
        <f>IF(M$5,COUNTIFS(Residents!$G:$G,$A47,Residents!$ID:$ID,1,Residents!$IE:$IE,1),"")</f>
        <v/>
      </c>
      <c r="N47" t="str">
        <f>IF(N$5,COUNTIFS(Residents!$G:$G,$A47,Residents!$ID:$ID,1,Residents!$IE:$IE,1),"")</f>
        <v/>
      </c>
      <c r="O47" t="str">
        <f>IF(O$5,COUNTIFS(Residents!$G:$G,$A47,Residents!$ID:$ID,1,Residents!$IE:$IE,1),"")</f>
        <v/>
      </c>
      <c r="P47" t="str">
        <f>IF(P$5,COUNTIFS(Residents!$G:$G,$A47,Residents!$ID:$ID,1,Residents!$IE:$IE,1),"")</f>
        <v/>
      </c>
      <c r="Q47" t="str">
        <f>IF(Q$5,COUNTIFS(Residents!$G:$G,$A47,Residents!$ID:$ID,1,Residents!$IE:$IE,1),"")</f>
        <v/>
      </c>
      <c r="R47" t="str">
        <f>IF(R$5,COUNTIFS(Residents!$G:$G,$A47,Residents!$ID:$ID,1,Residents!$IE:$IE,1),"")</f>
        <v/>
      </c>
    </row>
    <row r="48" spans="1:18" ht="15">
      <c r="A48" t="s">
        <v>40</v>
      </c>
      <c r="B48" t="s">
        <v>45</v>
      </c>
      <c r="E48" t="s">
        <v>465</v>
      </c>
      <c r="F48" s="10" t="str">
        <f aca="true" t="shared" si="17" ref="F48:Q48">IF(F$5,IF(F47=0,"n/a",F46/F47),"")</f>
        <v/>
      </c>
      <c r="G48" s="10" t="str">
        <f t="shared" si="17"/>
        <v/>
      </c>
      <c r="H48" s="10" t="str">
        <f t="shared" si="17"/>
        <v/>
      </c>
      <c r="I48" s="10" t="str">
        <f t="shared" si="17"/>
        <v/>
      </c>
      <c r="J48" s="10" t="str">
        <f t="shared" si="17"/>
        <v/>
      </c>
      <c r="K48" s="10" t="str">
        <f t="shared" si="17"/>
        <v/>
      </c>
      <c r="L48" s="10" t="str">
        <f t="shared" si="17"/>
        <v/>
      </c>
      <c r="M48" s="10" t="str">
        <f t="shared" si="17"/>
        <v/>
      </c>
      <c r="N48" s="10" t="str">
        <f t="shared" si="17"/>
        <v/>
      </c>
      <c r="O48" s="10" t="str">
        <f t="shared" si="17"/>
        <v/>
      </c>
      <c r="P48" s="10" t="str">
        <f t="shared" si="17"/>
        <v/>
      </c>
      <c r="Q48" s="10" t="str">
        <f t="shared" si="17"/>
        <v/>
      </c>
      <c r="R48" s="10" t="str">
        <f>IF(R$5,IF(R47=0,"n/a",R46/R47),"")</f>
        <v/>
      </c>
    </row>
    <row r="49" spans="1:18" ht="15">
      <c r="A49" t="s">
        <v>40</v>
      </c>
      <c r="B49" t="s">
        <v>842</v>
      </c>
      <c r="E49" t="s">
        <v>848</v>
      </c>
      <c r="F49" t="str">
        <f>IF(F$5,COUNTIFS(Residents!$G:$G,$A49,Residents!$IO:$IO,1),"")</f>
        <v/>
      </c>
      <c r="G49" t="str">
        <f>IF(G$5,COUNTIFS(Residents!$G:$G,$A49,Residents!$IO:$IO,1),"")</f>
        <v/>
      </c>
      <c r="H49" t="str">
        <f>IF(H$5,COUNTIFS(Residents!$G:$G,$A49,Residents!$IO:$IO,1),"")</f>
        <v/>
      </c>
      <c r="I49" t="str">
        <f>IF(I$5,COUNTIFS(Residents!$G:$G,$A49,Residents!$IO:$IO,1),"")</f>
        <v/>
      </c>
      <c r="J49" t="str">
        <f>IF(J$5,COUNTIFS(Residents!$G:$G,$A49,Residents!$IO:$IO,1),"")</f>
        <v/>
      </c>
      <c r="K49" t="str">
        <f>IF(K$5,COUNTIFS(Residents!$G:$G,$A49,Residents!$IO:$IO,1),"")</f>
        <v/>
      </c>
      <c r="L49" t="str">
        <f>IF(L$5,COUNTIFS(Residents!$G:$G,$A49,Residents!$IO:$IO,1),"")</f>
        <v/>
      </c>
      <c r="M49" t="str">
        <f>IF(M$5,COUNTIFS(Residents!$G:$G,$A49,Residents!$IO:$IO,1),"")</f>
        <v/>
      </c>
      <c r="N49" t="str">
        <f>IF(N$5,COUNTIFS(Residents!$G:$G,$A49,Residents!$IO:$IO,1),"")</f>
        <v/>
      </c>
      <c r="O49" t="str">
        <f>IF(O$5,COUNTIFS(Residents!$G:$G,$A49,Residents!$IO:$IO,1),"")</f>
        <v/>
      </c>
      <c r="P49" t="str">
        <f>IF(P$5,COUNTIFS(Residents!$G:$G,$A49,Residents!$IO:$IO,1),"")</f>
        <v/>
      </c>
      <c r="Q49" t="str">
        <f>IF(Q$5,COUNTIFS(Residents!$G:$G,$A49,Residents!$IO:$IO,1),"")</f>
        <v/>
      </c>
      <c r="R49" t="str">
        <f>IF(R$5,COUNTIFS(Residents!$G:$G,$A49,Residents!$IO:$IO,1),"")</f>
        <v/>
      </c>
    </row>
    <row r="50" spans="1:18" ht="15">
      <c r="A50" t="s">
        <v>40</v>
      </c>
      <c r="B50" t="s">
        <v>843</v>
      </c>
      <c r="E50" t="s">
        <v>848</v>
      </c>
      <c r="F50" t="str">
        <f>IF(F$5,COUNTIFS(Residents!$G:$G,$A50,Residents!$I:$I,1,Residents!$IO:$IO,1),"")</f>
        <v/>
      </c>
      <c r="G50" t="str">
        <f>IF(G$5,COUNTIFS(Residents!$G:$G,$A50,Residents!$I:$I,1,Residents!$IO:$IO,1),"")</f>
        <v/>
      </c>
      <c r="H50" t="str">
        <f>IF(H$5,COUNTIFS(Residents!$G:$G,$A50,Residents!$I:$I,1,Residents!$IO:$IO,1),"")</f>
        <v/>
      </c>
      <c r="I50" t="str">
        <f>IF(I$5,COUNTIFS(Residents!$G:$G,$A50,Residents!$I:$I,1,Residents!$IO:$IO,1),"")</f>
        <v/>
      </c>
      <c r="J50" t="str">
        <f>IF(J$5,COUNTIFS(Residents!$G:$G,$A50,Residents!$I:$I,1,Residents!$IO:$IO,1),"")</f>
        <v/>
      </c>
      <c r="K50" t="str">
        <f>IF(K$5,COUNTIFS(Residents!$G:$G,$A50,Residents!$I:$I,1,Residents!$IO:$IO,1),"")</f>
        <v/>
      </c>
      <c r="L50" t="str">
        <f>IF(L$5,COUNTIFS(Residents!$G:$G,$A50,Residents!$I:$I,1,Residents!$IO:$IO,1),"")</f>
        <v/>
      </c>
      <c r="M50" t="str">
        <f>IF(M$5,COUNTIFS(Residents!$G:$G,$A50,Residents!$I:$I,1,Residents!$IO:$IO,1),"")</f>
        <v/>
      </c>
      <c r="N50" t="str">
        <f>IF(N$5,COUNTIFS(Residents!$G:$G,$A50,Residents!$I:$I,1,Residents!$IO:$IO,1),"")</f>
        <v/>
      </c>
      <c r="O50" t="str">
        <f>IF(O$5,COUNTIFS(Residents!$G:$G,$A50,Residents!$I:$I,1,Residents!$IO:$IO,1),"")</f>
        <v/>
      </c>
      <c r="P50" t="str">
        <f>IF(P$5,COUNTIFS(Residents!$G:$G,$A50,Residents!$I:$I,1,Residents!$IO:$IO,1),"")</f>
        <v/>
      </c>
      <c r="Q50" t="str">
        <f>IF(Q$5,COUNTIFS(Residents!$G:$G,$A50,Residents!$I:$I,1,Residents!$IO:$IO,1),"")</f>
        <v/>
      </c>
      <c r="R50" t="str">
        <f>IF(R$5,COUNTIFS(Residents!$G:$G,$A50,Residents!$I:$I,1,Residents!$IO:$IO,1),"")</f>
        <v/>
      </c>
    </row>
    <row r="51" spans="1:18" ht="15">
      <c r="A51" t="s">
        <v>40</v>
      </c>
      <c r="B51" t="s">
        <v>840</v>
      </c>
      <c r="E51" t="s">
        <v>848</v>
      </c>
      <c r="F51" s="10" t="str">
        <f aca="true" t="shared" si="18" ref="F51:Q51">IF(F$5,IF(F49=0,"n/a",F50/F49),"")</f>
        <v/>
      </c>
      <c r="G51" s="10" t="str">
        <f t="shared" si="18"/>
        <v/>
      </c>
      <c r="H51" s="10" t="str">
        <f t="shared" si="18"/>
        <v/>
      </c>
      <c r="I51" s="10" t="str">
        <f t="shared" si="18"/>
        <v/>
      </c>
      <c r="J51" s="10" t="str">
        <f t="shared" si="18"/>
        <v/>
      </c>
      <c r="K51" s="10" t="str">
        <f t="shared" si="18"/>
        <v/>
      </c>
      <c r="L51" s="10" t="str">
        <f t="shared" si="18"/>
        <v/>
      </c>
      <c r="M51" s="10" t="str">
        <f t="shared" si="18"/>
        <v/>
      </c>
      <c r="N51" s="10" t="str">
        <f t="shared" si="18"/>
        <v/>
      </c>
      <c r="O51" s="10" t="str">
        <f t="shared" si="18"/>
        <v/>
      </c>
      <c r="P51" s="10" t="str">
        <f t="shared" si="18"/>
        <v/>
      </c>
      <c r="Q51" s="10" t="str">
        <f t="shared" si="18"/>
        <v/>
      </c>
      <c r="R51" s="10" t="str">
        <f>IF(R$5,IF(R49=0,"n/a",R50/R49),"")</f>
        <v/>
      </c>
    </row>
    <row r="52" spans="1:18" ht="15">
      <c r="A52" t="s">
        <v>40</v>
      </c>
      <c r="B52" t="s">
        <v>467</v>
      </c>
      <c r="E52" t="s">
        <v>465</v>
      </c>
      <c r="F52" s="11" t="str">
        <f>IF(F$5,COUNTIFS(Medications!$AN:$AN,$A52,Medications!$AO:$AO,1),"")</f>
        <v/>
      </c>
      <c r="G52" s="11" t="str">
        <f>IF(G$5,COUNTIFS(Medications!$AN:$AN,$A52,Medications!$AO:$AO,1),"")</f>
        <v/>
      </c>
      <c r="H52" s="11" t="str">
        <f>IF(H$5,COUNTIFS(Medications!$AN:$AN,$A52,Medications!$AO:$AO,1),"")</f>
        <v/>
      </c>
      <c r="I52" s="11" t="str">
        <f>IF(I$5,COUNTIFS(Medications!$AN:$AN,$A52,Medications!$AO:$AO,1),"")</f>
        <v/>
      </c>
      <c r="J52" s="11" t="str">
        <f>IF(J$5,COUNTIFS(Medications!$AN:$AN,$A52,Medications!$AO:$AO,1),"")</f>
        <v/>
      </c>
      <c r="K52" s="11" t="str">
        <f>IF(K$5,COUNTIFS(Medications!$AN:$AN,$A52,Medications!$AO:$AO,1),"")</f>
        <v/>
      </c>
      <c r="L52" s="11" t="str">
        <f>IF(L$5,COUNTIFS(Medications!$AN:$AN,$A52,Medications!$AO:$AO,1),"")</f>
        <v/>
      </c>
      <c r="M52" s="11" t="str">
        <f>IF(M$5,COUNTIFS(Medications!$AN:$AN,$A52,Medications!$AO:$AO,1),"")</f>
        <v/>
      </c>
      <c r="N52" s="11" t="str">
        <f>IF(N$5,COUNTIFS(Medications!$AN:$AN,$A52,Medications!$AO:$AO,1),"")</f>
        <v/>
      </c>
      <c r="O52" s="11" t="str">
        <f>IF(O$5,COUNTIFS(Medications!$AN:$AN,$A52,Medications!$AO:$AO,1),"")</f>
        <v/>
      </c>
      <c r="P52" s="11" t="str">
        <f>IF(P$5,COUNTIFS(Medications!$AN:$AN,$A52,Medications!$AO:$AO,1),"")</f>
        <v/>
      </c>
      <c r="Q52" s="11" t="str">
        <f>IF(Q$5,COUNTIFS(Medications!$AN:$AN,$A52,Medications!$AO:$AO,1),"")</f>
        <v/>
      </c>
      <c r="R52" s="11" t="str">
        <f>IF(R$5,COUNTIFS(Medications!$AN:$AN,$A52,Medications!$AO:$AO,1),"")</f>
        <v/>
      </c>
    </row>
    <row r="53" spans="1:18" ht="15">
      <c r="A53" t="s">
        <v>41</v>
      </c>
      <c r="B53" t="str">
        <f>"Number of individuals for whom "&amp;C53&amp;" pleasant moments/meaningful activities have been recorded"</f>
        <v>Number of individuals for whom 0 pleasant moments/meaningful activities have been recorded</v>
      </c>
      <c r="C53">
        <v>0</v>
      </c>
      <c r="E53" t="s">
        <v>465</v>
      </c>
      <c r="F53" t="str">
        <f>IF(F$5,COUNTIFS(Residents!$G:$G,$A53,Residents!$ID:$ID,1,Residents!$IL:$IL,$C53),"")</f>
        <v/>
      </c>
      <c r="G53" t="str">
        <f>IF(G$5,COUNTIFS(Residents!$G:$G,$A53,Residents!$ID:$ID,1,Residents!$IL:$IL,$C53),"")</f>
        <v/>
      </c>
      <c r="H53" t="str">
        <f>IF(H$5,COUNTIFS(Residents!$G:$G,$A53,Residents!$ID:$ID,1,Residents!$IL:$IL,$C53),"")</f>
        <v/>
      </c>
      <c r="I53" t="str">
        <f>IF(I$5,COUNTIFS(Residents!$G:$G,$A53,Residents!$ID:$ID,1,Residents!$IL:$IL,$C53),"")</f>
        <v/>
      </c>
      <c r="J53" t="str">
        <f>IF(J$5,COUNTIFS(Residents!$G:$G,$A53,Residents!$ID:$ID,1,Residents!$IL:$IL,$C53),"")</f>
        <v/>
      </c>
      <c r="K53" t="str">
        <f>IF(K$5,COUNTIFS(Residents!$G:$G,$A53,Residents!$ID:$ID,1,Residents!$IL:$IL,$C53),"")</f>
        <v/>
      </c>
      <c r="L53" t="str">
        <f>IF(L$5,COUNTIFS(Residents!$G:$G,$A53,Residents!$ID:$ID,1,Residents!$IL:$IL,$C53),"")</f>
        <v/>
      </c>
      <c r="M53" t="str">
        <f>IF(M$5,COUNTIFS(Residents!$G:$G,$A53,Residents!$ID:$ID,1,Residents!$IL:$IL,$C53),"")</f>
        <v/>
      </c>
      <c r="N53" t="str">
        <f>IF(N$5,COUNTIFS(Residents!$G:$G,$A53,Residents!$ID:$ID,1,Residents!$IL:$IL,$C53),"")</f>
        <v/>
      </c>
      <c r="O53" t="str">
        <f>IF(O$5,COUNTIFS(Residents!$G:$G,$A53,Residents!$ID:$ID,1,Residents!$IL:$IL,$C53),"")</f>
        <v/>
      </c>
      <c r="P53" t="str">
        <f>IF(P$5,COUNTIFS(Residents!$G:$G,$A53,Residents!$ID:$ID,1,Residents!$IL:$IL,$C53),"")</f>
        <v/>
      </c>
      <c r="Q53" t="str">
        <f>IF(Q$5,COUNTIFS(Residents!$G:$G,$A53,Residents!$ID:$ID,1,Residents!$IL:$IL,$C53),"")</f>
        <v/>
      </c>
      <c r="R53" t="str">
        <f>IF(R$5,COUNTIFS(Residents!$G:$G,$A53,Residents!$ID:$ID,1,Residents!$IL:$IL,$C53),"")</f>
        <v/>
      </c>
    </row>
    <row r="54" spans="1:18" ht="15">
      <c r="A54" t="s">
        <v>41</v>
      </c>
      <c r="B54" t="str">
        <f aca="true" t="shared" si="19" ref="B54:B65">"Number of individuals for whom "&amp;C54&amp;" pleasant moments/meaningful activities have been recorded"</f>
        <v>Number of individuals for whom 1 pleasant moments/meaningful activities have been recorded</v>
      </c>
      <c r="C54">
        <f>1+C53</f>
        <v>1</v>
      </c>
      <c r="E54" t="s">
        <v>465</v>
      </c>
      <c r="F54" t="str">
        <f>IF(F$5,COUNTIFS(Residents!$G:$G,$A54,Residents!$ID:$ID,1,Residents!$IL:$IL,$C54),"")</f>
        <v/>
      </c>
      <c r="G54" t="str">
        <f>IF(G$5,COUNTIFS(Residents!$G:$G,$A54,Residents!$ID:$ID,1,Residents!$IL:$IL,$C54),"")</f>
        <v/>
      </c>
      <c r="H54" t="str">
        <f>IF(H$5,COUNTIFS(Residents!$G:$G,$A54,Residents!$ID:$ID,1,Residents!$IL:$IL,$C54),"")</f>
        <v/>
      </c>
      <c r="I54" t="str">
        <f>IF(I$5,COUNTIFS(Residents!$G:$G,$A54,Residents!$ID:$ID,1,Residents!$IL:$IL,$C54),"")</f>
        <v/>
      </c>
      <c r="J54" t="str">
        <f>IF(J$5,COUNTIFS(Residents!$G:$G,$A54,Residents!$ID:$ID,1,Residents!$IL:$IL,$C54),"")</f>
        <v/>
      </c>
      <c r="K54" t="str">
        <f>IF(K$5,COUNTIFS(Residents!$G:$G,$A54,Residents!$ID:$ID,1,Residents!$IL:$IL,$C54),"")</f>
        <v/>
      </c>
      <c r="L54" t="str">
        <f>IF(L$5,COUNTIFS(Residents!$G:$G,$A54,Residents!$ID:$ID,1,Residents!$IL:$IL,$C54),"")</f>
        <v/>
      </c>
      <c r="M54" t="str">
        <f>IF(M$5,COUNTIFS(Residents!$G:$G,$A54,Residents!$ID:$ID,1,Residents!$IL:$IL,$C54),"")</f>
        <v/>
      </c>
      <c r="N54" t="str">
        <f>IF(N$5,COUNTIFS(Residents!$G:$G,$A54,Residents!$ID:$ID,1,Residents!$IL:$IL,$C54),"")</f>
        <v/>
      </c>
      <c r="O54" t="str">
        <f>IF(O$5,COUNTIFS(Residents!$G:$G,$A54,Residents!$ID:$ID,1,Residents!$IL:$IL,$C54),"")</f>
        <v/>
      </c>
      <c r="P54" t="str">
        <f>IF(P$5,COUNTIFS(Residents!$G:$G,$A54,Residents!$ID:$ID,1,Residents!$IL:$IL,$C54),"")</f>
        <v/>
      </c>
      <c r="Q54" t="str">
        <f>IF(Q$5,COUNTIFS(Residents!$G:$G,$A54,Residents!$ID:$ID,1,Residents!$IL:$IL,$C54),"")</f>
        <v/>
      </c>
      <c r="R54" t="str">
        <f>IF(R$5,COUNTIFS(Residents!$G:$G,$A54,Residents!$ID:$ID,1,Residents!$IL:$IL,$C54),"")</f>
        <v/>
      </c>
    </row>
    <row r="55" spans="1:18" ht="15">
      <c r="A55" t="s">
        <v>41</v>
      </c>
      <c r="B55" t="str">
        <f t="shared" si="19"/>
        <v>Number of individuals for whom 2 pleasant moments/meaningful activities have been recorded</v>
      </c>
      <c r="C55">
        <f aca="true" t="shared" si="20" ref="C55:C65">1+C54</f>
        <v>2</v>
      </c>
      <c r="E55" t="s">
        <v>465</v>
      </c>
      <c r="F55" t="str">
        <f>IF(F$5,COUNTIFS(Residents!$G:$G,$A55,Residents!$ID:$ID,1,Residents!$IL:$IL,$C55),"")</f>
        <v/>
      </c>
      <c r="G55" t="str">
        <f>IF(G$5,COUNTIFS(Residents!$G:$G,$A55,Residents!$ID:$ID,1,Residents!$IL:$IL,$C55),"")</f>
        <v/>
      </c>
      <c r="H55" t="str">
        <f>IF(H$5,COUNTIFS(Residents!$G:$G,$A55,Residents!$ID:$ID,1,Residents!$IL:$IL,$C55),"")</f>
        <v/>
      </c>
      <c r="I55" t="str">
        <f>IF(I$5,COUNTIFS(Residents!$G:$G,$A55,Residents!$ID:$ID,1,Residents!$IL:$IL,$C55),"")</f>
        <v/>
      </c>
      <c r="J55" t="str">
        <f>IF(J$5,COUNTIFS(Residents!$G:$G,$A55,Residents!$ID:$ID,1,Residents!$IL:$IL,$C55),"")</f>
        <v/>
      </c>
      <c r="K55" t="str">
        <f>IF(K$5,COUNTIFS(Residents!$G:$G,$A55,Residents!$ID:$ID,1,Residents!$IL:$IL,$C55),"")</f>
        <v/>
      </c>
      <c r="L55" t="str">
        <f>IF(L$5,COUNTIFS(Residents!$G:$G,$A55,Residents!$ID:$ID,1,Residents!$IL:$IL,$C55),"")</f>
        <v/>
      </c>
      <c r="M55" t="str">
        <f>IF(M$5,COUNTIFS(Residents!$G:$G,$A55,Residents!$ID:$ID,1,Residents!$IL:$IL,$C55),"")</f>
        <v/>
      </c>
      <c r="N55" t="str">
        <f>IF(N$5,COUNTIFS(Residents!$G:$G,$A55,Residents!$ID:$ID,1,Residents!$IL:$IL,$C55),"")</f>
        <v/>
      </c>
      <c r="O55" t="str">
        <f>IF(O$5,COUNTIFS(Residents!$G:$G,$A55,Residents!$ID:$ID,1,Residents!$IL:$IL,$C55),"")</f>
        <v/>
      </c>
      <c r="P55" t="str">
        <f>IF(P$5,COUNTIFS(Residents!$G:$G,$A55,Residents!$ID:$ID,1,Residents!$IL:$IL,$C55),"")</f>
        <v/>
      </c>
      <c r="Q55" t="str">
        <f>IF(Q$5,COUNTIFS(Residents!$G:$G,$A55,Residents!$ID:$ID,1,Residents!$IL:$IL,$C55),"")</f>
        <v/>
      </c>
      <c r="R55" t="str">
        <f>IF(R$5,COUNTIFS(Residents!$G:$G,$A55,Residents!$ID:$ID,1,Residents!$IL:$IL,$C55),"")</f>
        <v/>
      </c>
    </row>
    <row r="56" spans="1:18" ht="15">
      <c r="A56" t="s">
        <v>41</v>
      </c>
      <c r="B56" t="str">
        <f t="shared" si="19"/>
        <v>Number of individuals for whom 3 pleasant moments/meaningful activities have been recorded</v>
      </c>
      <c r="C56">
        <f t="shared" si="20"/>
        <v>3</v>
      </c>
      <c r="E56" t="s">
        <v>465</v>
      </c>
      <c r="F56" t="str">
        <f>IF(F$5,COUNTIFS(Residents!$G:$G,$A56,Residents!$ID:$ID,1,Residents!$IL:$IL,$C56),"")</f>
        <v/>
      </c>
      <c r="G56" t="str">
        <f>IF(G$5,COUNTIFS(Residents!$G:$G,$A56,Residents!$ID:$ID,1,Residents!$IL:$IL,$C56),"")</f>
        <v/>
      </c>
      <c r="H56" t="str">
        <f>IF(H$5,COUNTIFS(Residents!$G:$G,$A56,Residents!$ID:$ID,1,Residents!$IL:$IL,$C56),"")</f>
        <v/>
      </c>
      <c r="I56" t="str">
        <f>IF(I$5,COUNTIFS(Residents!$G:$G,$A56,Residents!$ID:$ID,1,Residents!$IL:$IL,$C56),"")</f>
        <v/>
      </c>
      <c r="J56" t="str">
        <f>IF(J$5,COUNTIFS(Residents!$G:$G,$A56,Residents!$ID:$ID,1,Residents!$IL:$IL,$C56),"")</f>
        <v/>
      </c>
      <c r="K56" t="str">
        <f>IF(K$5,COUNTIFS(Residents!$G:$G,$A56,Residents!$ID:$ID,1,Residents!$IL:$IL,$C56),"")</f>
        <v/>
      </c>
      <c r="L56" t="str">
        <f>IF(L$5,COUNTIFS(Residents!$G:$G,$A56,Residents!$ID:$ID,1,Residents!$IL:$IL,$C56),"")</f>
        <v/>
      </c>
      <c r="M56" t="str">
        <f>IF(M$5,COUNTIFS(Residents!$G:$G,$A56,Residents!$ID:$ID,1,Residents!$IL:$IL,$C56),"")</f>
        <v/>
      </c>
      <c r="N56" t="str">
        <f>IF(N$5,COUNTIFS(Residents!$G:$G,$A56,Residents!$ID:$ID,1,Residents!$IL:$IL,$C56),"")</f>
        <v/>
      </c>
      <c r="O56" t="str">
        <f>IF(O$5,COUNTIFS(Residents!$G:$G,$A56,Residents!$ID:$ID,1,Residents!$IL:$IL,$C56),"")</f>
        <v/>
      </c>
      <c r="P56" t="str">
        <f>IF(P$5,COUNTIFS(Residents!$G:$G,$A56,Residents!$ID:$ID,1,Residents!$IL:$IL,$C56),"")</f>
        <v/>
      </c>
      <c r="Q56" t="str">
        <f>IF(Q$5,COUNTIFS(Residents!$G:$G,$A56,Residents!$ID:$ID,1,Residents!$IL:$IL,$C56),"")</f>
        <v/>
      </c>
      <c r="R56" t="str">
        <f>IF(R$5,COUNTIFS(Residents!$G:$G,$A56,Residents!$ID:$ID,1,Residents!$IL:$IL,$C56),"")</f>
        <v/>
      </c>
    </row>
    <row r="57" spans="1:18" ht="15">
      <c r="A57" t="s">
        <v>41</v>
      </c>
      <c r="B57" t="str">
        <f t="shared" si="19"/>
        <v>Number of individuals for whom 4 pleasant moments/meaningful activities have been recorded</v>
      </c>
      <c r="C57">
        <f t="shared" si="20"/>
        <v>4</v>
      </c>
      <c r="E57" t="s">
        <v>465</v>
      </c>
      <c r="F57" t="str">
        <f>IF(F$5,COUNTIFS(Residents!$G:$G,$A57,Residents!$ID:$ID,1,Residents!$IL:$IL,$C57),"")</f>
        <v/>
      </c>
      <c r="G57" t="str">
        <f>IF(G$5,COUNTIFS(Residents!$G:$G,$A57,Residents!$ID:$ID,1,Residents!$IL:$IL,$C57),"")</f>
        <v/>
      </c>
      <c r="H57" t="str">
        <f>IF(H$5,COUNTIFS(Residents!$G:$G,$A57,Residents!$ID:$ID,1,Residents!$IL:$IL,$C57),"")</f>
        <v/>
      </c>
      <c r="I57" t="str">
        <f>IF(I$5,COUNTIFS(Residents!$G:$G,$A57,Residents!$ID:$ID,1,Residents!$IL:$IL,$C57),"")</f>
        <v/>
      </c>
      <c r="J57" t="str">
        <f>IF(J$5,COUNTIFS(Residents!$G:$G,$A57,Residents!$ID:$ID,1,Residents!$IL:$IL,$C57),"")</f>
        <v/>
      </c>
      <c r="K57" t="str">
        <f>IF(K$5,COUNTIFS(Residents!$G:$G,$A57,Residents!$ID:$ID,1,Residents!$IL:$IL,$C57),"")</f>
        <v/>
      </c>
      <c r="L57" t="str">
        <f>IF(L$5,COUNTIFS(Residents!$G:$G,$A57,Residents!$ID:$ID,1,Residents!$IL:$IL,$C57),"")</f>
        <v/>
      </c>
      <c r="M57" t="str">
        <f>IF(M$5,COUNTIFS(Residents!$G:$G,$A57,Residents!$ID:$ID,1,Residents!$IL:$IL,$C57),"")</f>
        <v/>
      </c>
      <c r="N57" t="str">
        <f>IF(N$5,COUNTIFS(Residents!$G:$G,$A57,Residents!$ID:$ID,1,Residents!$IL:$IL,$C57),"")</f>
        <v/>
      </c>
      <c r="O57" t="str">
        <f>IF(O$5,COUNTIFS(Residents!$G:$G,$A57,Residents!$ID:$ID,1,Residents!$IL:$IL,$C57),"")</f>
        <v/>
      </c>
      <c r="P57" t="str">
        <f>IF(P$5,COUNTIFS(Residents!$G:$G,$A57,Residents!$ID:$ID,1,Residents!$IL:$IL,$C57),"")</f>
        <v/>
      </c>
      <c r="Q57" t="str">
        <f>IF(Q$5,COUNTIFS(Residents!$G:$G,$A57,Residents!$ID:$ID,1,Residents!$IL:$IL,$C57),"")</f>
        <v/>
      </c>
      <c r="R57" t="str">
        <f>IF(R$5,COUNTIFS(Residents!$G:$G,$A57,Residents!$ID:$ID,1,Residents!$IL:$IL,$C57),"")</f>
        <v/>
      </c>
    </row>
    <row r="58" spans="1:18" ht="15">
      <c r="A58" t="s">
        <v>41</v>
      </c>
      <c r="B58" t="str">
        <f t="shared" si="19"/>
        <v>Number of individuals for whom 5 pleasant moments/meaningful activities have been recorded</v>
      </c>
      <c r="C58">
        <f t="shared" si="20"/>
        <v>5</v>
      </c>
      <c r="E58" t="s">
        <v>465</v>
      </c>
      <c r="F58" t="str">
        <f>IF(F$5,COUNTIFS(Residents!$G:$G,$A58,Residents!$ID:$ID,1,Residents!$IL:$IL,$C58),"")</f>
        <v/>
      </c>
      <c r="G58" t="str">
        <f>IF(G$5,COUNTIFS(Residents!$G:$G,$A58,Residents!$ID:$ID,1,Residents!$IL:$IL,$C58),"")</f>
        <v/>
      </c>
      <c r="H58" t="str">
        <f>IF(H$5,COUNTIFS(Residents!$G:$G,$A58,Residents!$ID:$ID,1,Residents!$IL:$IL,$C58),"")</f>
        <v/>
      </c>
      <c r="I58" t="str">
        <f>IF(I$5,COUNTIFS(Residents!$G:$G,$A58,Residents!$ID:$ID,1,Residents!$IL:$IL,$C58),"")</f>
        <v/>
      </c>
      <c r="J58" t="str">
        <f>IF(J$5,COUNTIFS(Residents!$G:$G,$A58,Residents!$ID:$ID,1,Residents!$IL:$IL,$C58),"")</f>
        <v/>
      </c>
      <c r="K58" t="str">
        <f>IF(K$5,COUNTIFS(Residents!$G:$G,$A58,Residents!$ID:$ID,1,Residents!$IL:$IL,$C58),"")</f>
        <v/>
      </c>
      <c r="L58" t="str">
        <f>IF(L$5,COUNTIFS(Residents!$G:$G,$A58,Residents!$ID:$ID,1,Residents!$IL:$IL,$C58),"")</f>
        <v/>
      </c>
      <c r="M58" t="str">
        <f>IF(M$5,COUNTIFS(Residents!$G:$G,$A58,Residents!$ID:$ID,1,Residents!$IL:$IL,$C58),"")</f>
        <v/>
      </c>
      <c r="N58" t="str">
        <f>IF(N$5,COUNTIFS(Residents!$G:$G,$A58,Residents!$ID:$ID,1,Residents!$IL:$IL,$C58),"")</f>
        <v/>
      </c>
      <c r="O58" t="str">
        <f>IF(O$5,COUNTIFS(Residents!$G:$G,$A58,Residents!$ID:$ID,1,Residents!$IL:$IL,$C58),"")</f>
        <v/>
      </c>
      <c r="P58" t="str">
        <f>IF(P$5,COUNTIFS(Residents!$G:$G,$A58,Residents!$ID:$ID,1,Residents!$IL:$IL,$C58),"")</f>
        <v/>
      </c>
      <c r="Q58" t="str">
        <f>IF(Q$5,COUNTIFS(Residents!$G:$G,$A58,Residents!$ID:$ID,1,Residents!$IL:$IL,$C58),"")</f>
        <v/>
      </c>
      <c r="R58" t="str">
        <f>IF(R$5,COUNTIFS(Residents!$G:$G,$A58,Residents!$ID:$ID,1,Residents!$IL:$IL,$C58),"")</f>
        <v/>
      </c>
    </row>
    <row r="59" spans="1:18" ht="15">
      <c r="A59" t="s">
        <v>41</v>
      </c>
      <c r="B59" t="str">
        <f t="shared" si="19"/>
        <v>Number of individuals for whom 6 pleasant moments/meaningful activities have been recorded</v>
      </c>
      <c r="C59">
        <f t="shared" si="20"/>
        <v>6</v>
      </c>
      <c r="E59" t="s">
        <v>465</v>
      </c>
      <c r="F59" t="str">
        <f>IF(F$5,COUNTIFS(Residents!$G:$G,$A59,Residents!$ID:$ID,1,Residents!$IL:$IL,$C59),"")</f>
        <v/>
      </c>
      <c r="G59" t="str">
        <f>IF(G$5,COUNTIFS(Residents!$G:$G,$A59,Residents!$ID:$ID,1,Residents!$IL:$IL,$C59),"")</f>
        <v/>
      </c>
      <c r="H59" t="str">
        <f>IF(H$5,COUNTIFS(Residents!$G:$G,$A59,Residents!$ID:$ID,1,Residents!$IL:$IL,$C59),"")</f>
        <v/>
      </c>
      <c r="I59" t="str">
        <f>IF(I$5,COUNTIFS(Residents!$G:$G,$A59,Residents!$ID:$ID,1,Residents!$IL:$IL,$C59),"")</f>
        <v/>
      </c>
      <c r="J59" t="str">
        <f>IF(J$5,COUNTIFS(Residents!$G:$G,$A59,Residents!$ID:$ID,1,Residents!$IL:$IL,$C59),"")</f>
        <v/>
      </c>
      <c r="K59" t="str">
        <f>IF(K$5,COUNTIFS(Residents!$G:$G,$A59,Residents!$ID:$ID,1,Residents!$IL:$IL,$C59),"")</f>
        <v/>
      </c>
      <c r="L59" t="str">
        <f>IF(L$5,COUNTIFS(Residents!$G:$G,$A59,Residents!$ID:$ID,1,Residents!$IL:$IL,$C59),"")</f>
        <v/>
      </c>
      <c r="M59" t="str">
        <f>IF(M$5,COUNTIFS(Residents!$G:$G,$A59,Residents!$ID:$ID,1,Residents!$IL:$IL,$C59),"")</f>
        <v/>
      </c>
      <c r="N59" t="str">
        <f>IF(N$5,COUNTIFS(Residents!$G:$G,$A59,Residents!$ID:$ID,1,Residents!$IL:$IL,$C59),"")</f>
        <v/>
      </c>
      <c r="O59" t="str">
        <f>IF(O$5,COUNTIFS(Residents!$G:$G,$A59,Residents!$ID:$ID,1,Residents!$IL:$IL,$C59),"")</f>
        <v/>
      </c>
      <c r="P59" t="str">
        <f>IF(P$5,COUNTIFS(Residents!$G:$G,$A59,Residents!$ID:$ID,1,Residents!$IL:$IL,$C59),"")</f>
        <v/>
      </c>
      <c r="Q59" t="str">
        <f>IF(Q$5,COUNTIFS(Residents!$G:$G,$A59,Residents!$ID:$ID,1,Residents!$IL:$IL,$C59),"")</f>
        <v/>
      </c>
      <c r="R59" t="str">
        <f>IF(R$5,COUNTIFS(Residents!$G:$G,$A59,Residents!$ID:$ID,1,Residents!$IL:$IL,$C59),"")</f>
        <v/>
      </c>
    </row>
    <row r="60" spans="1:18" ht="15">
      <c r="A60" t="s">
        <v>41</v>
      </c>
      <c r="B60" t="str">
        <f t="shared" si="19"/>
        <v>Number of individuals for whom 7 pleasant moments/meaningful activities have been recorded</v>
      </c>
      <c r="C60">
        <f t="shared" si="20"/>
        <v>7</v>
      </c>
      <c r="E60" t="s">
        <v>465</v>
      </c>
      <c r="F60" t="str">
        <f>IF(F$5,COUNTIFS(Residents!$G:$G,$A60,Residents!$ID:$ID,1,Residents!$IL:$IL,$C60),"")</f>
        <v/>
      </c>
      <c r="G60" t="str">
        <f>IF(G$5,COUNTIFS(Residents!$G:$G,$A60,Residents!$ID:$ID,1,Residents!$IL:$IL,$C60),"")</f>
        <v/>
      </c>
      <c r="H60" t="str">
        <f>IF(H$5,COUNTIFS(Residents!$G:$G,$A60,Residents!$ID:$ID,1,Residents!$IL:$IL,$C60),"")</f>
        <v/>
      </c>
      <c r="I60" t="str">
        <f>IF(I$5,COUNTIFS(Residents!$G:$G,$A60,Residents!$ID:$ID,1,Residents!$IL:$IL,$C60),"")</f>
        <v/>
      </c>
      <c r="J60" t="str">
        <f>IF(J$5,COUNTIFS(Residents!$G:$G,$A60,Residents!$ID:$ID,1,Residents!$IL:$IL,$C60),"")</f>
        <v/>
      </c>
      <c r="K60" t="str">
        <f>IF(K$5,COUNTIFS(Residents!$G:$G,$A60,Residents!$ID:$ID,1,Residents!$IL:$IL,$C60),"")</f>
        <v/>
      </c>
      <c r="L60" t="str">
        <f>IF(L$5,COUNTIFS(Residents!$G:$G,$A60,Residents!$ID:$ID,1,Residents!$IL:$IL,$C60),"")</f>
        <v/>
      </c>
      <c r="M60" t="str">
        <f>IF(M$5,COUNTIFS(Residents!$G:$G,$A60,Residents!$ID:$ID,1,Residents!$IL:$IL,$C60),"")</f>
        <v/>
      </c>
      <c r="N60" t="str">
        <f>IF(N$5,COUNTIFS(Residents!$G:$G,$A60,Residents!$ID:$ID,1,Residents!$IL:$IL,$C60),"")</f>
        <v/>
      </c>
      <c r="O60" t="str">
        <f>IF(O$5,COUNTIFS(Residents!$G:$G,$A60,Residents!$ID:$ID,1,Residents!$IL:$IL,$C60),"")</f>
        <v/>
      </c>
      <c r="P60" t="str">
        <f>IF(P$5,COUNTIFS(Residents!$G:$G,$A60,Residents!$ID:$ID,1,Residents!$IL:$IL,$C60),"")</f>
        <v/>
      </c>
      <c r="Q60" t="str">
        <f>IF(Q$5,COUNTIFS(Residents!$G:$G,$A60,Residents!$ID:$ID,1,Residents!$IL:$IL,$C60),"")</f>
        <v/>
      </c>
      <c r="R60" t="str">
        <f>IF(R$5,COUNTIFS(Residents!$G:$G,$A60,Residents!$ID:$ID,1,Residents!$IL:$IL,$C60),"")</f>
        <v/>
      </c>
    </row>
    <row r="61" spans="1:18" ht="15">
      <c r="A61" t="s">
        <v>41</v>
      </c>
      <c r="B61" t="str">
        <f t="shared" si="19"/>
        <v>Number of individuals for whom 8 pleasant moments/meaningful activities have been recorded</v>
      </c>
      <c r="C61">
        <f t="shared" si="20"/>
        <v>8</v>
      </c>
      <c r="E61" t="s">
        <v>465</v>
      </c>
      <c r="F61" t="str">
        <f>IF(F$5,COUNTIFS(Residents!$G:$G,$A61,Residents!$ID:$ID,1,Residents!$IL:$IL,$C61),"")</f>
        <v/>
      </c>
      <c r="G61" t="str">
        <f>IF(G$5,COUNTIFS(Residents!$G:$G,$A61,Residents!$ID:$ID,1,Residents!$IL:$IL,$C61),"")</f>
        <v/>
      </c>
      <c r="H61" t="str">
        <f>IF(H$5,COUNTIFS(Residents!$G:$G,$A61,Residents!$ID:$ID,1,Residents!$IL:$IL,$C61),"")</f>
        <v/>
      </c>
      <c r="I61" t="str">
        <f>IF(I$5,COUNTIFS(Residents!$G:$G,$A61,Residents!$ID:$ID,1,Residents!$IL:$IL,$C61),"")</f>
        <v/>
      </c>
      <c r="J61" t="str">
        <f>IF(J$5,COUNTIFS(Residents!$G:$G,$A61,Residents!$ID:$ID,1,Residents!$IL:$IL,$C61),"")</f>
        <v/>
      </c>
      <c r="K61" t="str">
        <f>IF(K$5,COUNTIFS(Residents!$G:$G,$A61,Residents!$ID:$ID,1,Residents!$IL:$IL,$C61),"")</f>
        <v/>
      </c>
      <c r="L61" t="str">
        <f>IF(L$5,COUNTIFS(Residents!$G:$G,$A61,Residents!$ID:$ID,1,Residents!$IL:$IL,$C61),"")</f>
        <v/>
      </c>
      <c r="M61" t="str">
        <f>IF(M$5,COUNTIFS(Residents!$G:$G,$A61,Residents!$ID:$ID,1,Residents!$IL:$IL,$C61),"")</f>
        <v/>
      </c>
      <c r="N61" t="str">
        <f>IF(N$5,COUNTIFS(Residents!$G:$G,$A61,Residents!$ID:$ID,1,Residents!$IL:$IL,$C61),"")</f>
        <v/>
      </c>
      <c r="O61" t="str">
        <f>IF(O$5,COUNTIFS(Residents!$G:$G,$A61,Residents!$ID:$ID,1,Residents!$IL:$IL,$C61),"")</f>
        <v/>
      </c>
      <c r="P61" t="str">
        <f>IF(P$5,COUNTIFS(Residents!$G:$G,$A61,Residents!$ID:$ID,1,Residents!$IL:$IL,$C61),"")</f>
        <v/>
      </c>
      <c r="Q61" t="str">
        <f>IF(Q$5,COUNTIFS(Residents!$G:$G,$A61,Residents!$ID:$ID,1,Residents!$IL:$IL,$C61),"")</f>
        <v/>
      </c>
      <c r="R61" t="str">
        <f>IF(R$5,COUNTIFS(Residents!$G:$G,$A61,Residents!$ID:$ID,1,Residents!$IL:$IL,$C61),"")</f>
        <v/>
      </c>
    </row>
    <row r="62" spans="1:18" ht="15">
      <c r="A62" t="s">
        <v>41</v>
      </c>
      <c r="B62" t="str">
        <f t="shared" si="19"/>
        <v>Number of individuals for whom 9 pleasant moments/meaningful activities have been recorded</v>
      </c>
      <c r="C62">
        <f t="shared" si="20"/>
        <v>9</v>
      </c>
      <c r="E62" t="s">
        <v>465</v>
      </c>
      <c r="F62" t="str">
        <f>IF(F$5,COUNTIFS(Residents!$G:$G,$A62,Residents!$ID:$ID,1,Residents!$IL:$IL,$C62),"")</f>
        <v/>
      </c>
      <c r="G62" t="str">
        <f>IF(G$5,COUNTIFS(Residents!$G:$G,$A62,Residents!$ID:$ID,1,Residents!$IL:$IL,$C62),"")</f>
        <v/>
      </c>
      <c r="H62" t="str">
        <f>IF(H$5,COUNTIFS(Residents!$G:$G,$A62,Residents!$ID:$ID,1,Residents!$IL:$IL,$C62),"")</f>
        <v/>
      </c>
      <c r="I62" t="str">
        <f>IF(I$5,COUNTIFS(Residents!$G:$G,$A62,Residents!$ID:$ID,1,Residents!$IL:$IL,$C62),"")</f>
        <v/>
      </c>
      <c r="J62" t="str">
        <f>IF(J$5,COUNTIFS(Residents!$G:$G,$A62,Residents!$ID:$ID,1,Residents!$IL:$IL,$C62),"")</f>
        <v/>
      </c>
      <c r="K62" t="str">
        <f>IF(K$5,COUNTIFS(Residents!$G:$G,$A62,Residents!$ID:$ID,1,Residents!$IL:$IL,$C62),"")</f>
        <v/>
      </c>
      <c r="L62" t="str">
        <f>IF(L$5,COUNTIFS(Residents!$G:$G,$A62,Residents!$ID:$ID,1,Residents!$IL:$IL,$C62),"")</f>
        <v/>
      </c>
      <c r="M62" t="str">
        <f>IF(M$5,COUNTIFS(Residents!$G:$G,$A62,Residents!$ID:$ID,1,Residents!$IL:$IL,$C62),"")</f>
        <v/>
      </c>
      <c r="N62" t="str">
        <f>IF(N$5,COUNTIFS(Residents!$G:$G,$A62,Residents!$ID:$ID,1,Residents!$IL:$IL,$C62),"")</f>
        <v/>
      </c>
      <c r="O62" t="str">
        <f>IF(O$5,COUNTIFS(Residents!$G:$G,$A62,Residents!$ID:$ID,1,Residents!$IL:$IL,$C62),"")</f>
        <v/>
      </c>
      <c r="P62" t="str">
        <f>IF(P$5,COUNTIFS(Residents!$G:$G,$A62,Residents!$ID:$ID,1,Residents!$IL:$IL,$C62),"")</f>
        <v/>
      </c>
      <c r="Q62" t="str">
        <f>IF(Q$5,COUNTIFS(Residents!$G:$G,$A62,Residents!$ID:$ID,1,Residents!$IL:$IL,$C62),"")</f>
        <v/>
      </c>
      <c r="R62" t="str">
        <f>IF(R$5,COUNTIFS(Residents!$G:$G,$A62,Residents!$ID:$ID,1,Residents!$IL:$IL,$C62),"")</f>
        <v/>
      </c>
    </row>
    <row r="63" spans="1:18" ht="15">
      <c r="A63" t="s">
        <v>41</v>
      </c>
      <c r="B63" t="str">
        <f t="shared" si="19"/>
        <v>Number of individuals for whom 10 pleasant moments/meaningful activities have been recorded</v>
      </c>
      <c r="C63">
        <f t="shared" si="20"/>
        <v>10</v>
      </c>
      <c r="E63" t="s">
        <v>465</v>
      </c>
      <c r="F63" t="str">
        <f>IF(F$5,COUNTIFS(Residents!$G:$G,$A63,Residents!$ID:$ID,1,Residents!$IL:$IL,$C63),"")</f>
        <v/>
      </c>
      <c r="G63" t="str">
        <f>IF(G$5,COUNTIFS(Residents!$G:$G,$A63,Residents!$ID:$ID,1,Residents!$IL:$IL,$C63),"")</f>
        <v/>
      </c>
      <c r="H63" t="str">
        <f>IF(H$5,COUNTIFS(Residents!$G:$G,$A63,Residents!$ID:$ID,1,Residents!$IL:$IL,$C63),"")</f>
        <v/>
      </c>
      <c r="I63" t="str">
        <f>IF(I$5,COUNTIFS(Residents!$G:$G,$A63,Residents!$ID:$ID,1,Residents!$IL:$IL,$C63),"")</f>
        <v/>
      </c>
      <c r="J63" t="str">
        <f>IF(J$5,COUNTIFS(Residents!$G:$G,$A63,Residents!$ID:$ID,1,Residents!$IL:$IL,$C63),"")</f>
        <v/>
      </c>
      <c r="K63" t="str">
        <f>IF(K$5,COUNTIFS(Residents!$G:$G,$A63,Residents!$ID:$ID,1,Residents!$IL:$IL,$C63),"")</f>
        <v/>
      </c>
      <c r="L63" t="str">
        <f>IF(L$5,COUNTIFS(Residents!$G:$G,$A63,Residents!$ID:$ID,1,Residents!$IL:$IL,$C63),"")</f>
        <v/>
      </c>
      <c r="M63" t="str">
        <f>IF(M$5,COUNTIFS(Residents!$G:$G,$A63,Residents!$ID:$ID,1,Residents!$IL:$IL,$C63),"")</f>
        <v/>
      </c>
      <c r="N63" t="str">
        <f>IF(N$5,COUNTIFS(Residents!$G:$G,$A63,Residents!$ID:$ID,1,Residents!$IL:$IL,$C63),"")</f>
        <v/>
      </c>
      <c r="O63" t="str">
        <f>IF(O$5,COUNTIFS(Residents!$G:$G,$A63,Residents!$ID:$ID,1,Residents!$IL:$IL,$C63),"")</f>
        <v/>
      </c>
      <c r="P63" t="str">
        <f>IF(P$5,COUNTIFS(Residents!$G:$G,$A63,Residents!$ID:$ID,1,Residents!$IL:$IL,$C63),"")</f>
        <v/>
      </c>
      <c r="Q63" t="str">
        <f>IF(Q$5,COUNTIFS(Residents!$G:$G,$A63,Residents!$ID:$ID,1,Residents!$IL:$IL,$C63),"")</f>
        <v/>
      </c>
      <c r="R63" t="str">
        <f>IF(R$5,COUNTIFS(Residents!$G:$G,$A63,Residents!$ID:$ID,1,Residents!$IL:$IL,$C63),"")</f>
        <v/>
      </c>
    </row>
    <row r="64" spans="1:18" ht="15">
      <c r="A64" t="s">
        <v>41</v>
      </c>
      <c r="B64" t="str">
        <f t="shared" si="19"/>
        <v>Number of individuals for whom 11 pleasant moments/meaningful activities have been recorded</v>
      </c>
      <c r="C64">
        <f t="shared" si="20"/>
        <v>11</v>
      </c>
      <c r="E64" t="s">
        <v>465</v>
      </c>
      <c r="F64" t="str">
        <f>IF(F$5,COUNTIFS(Residents!$G:$G,$A64,Residents!$ID:$ID,1,Residents!$IL:$IL,$C64),"")</f>
        <v/>
      </c>
      <c r="G64" t="str">
        <f>IF(G$5,COUNTIFS(Residents!$G:$G,$A64,Residents!$ID:$ID,1,Residents!$IL:$IL,$C64),"")</f>
        <v/>
      </c>
      <c r="H64" t="str">
        <f>IF(H$5,COUNTIFS(Residents!$G:$G,$A64,Residents!$ID:$ID,1,Residents!$IL:$IL,$C64),"")</f>
        <v/>
      </c>
      <c r="I64" t="str">
        <f>IF(I$5,COUNTIFS(Residents!$G:$G,$A64,Residents!$ID:$ID,1,Residents!$IL:$IL,$C64),"")</f>
        <v/>
      </c>
      <c r="J64" t="str">
        <f>IF(J$5,COUNTIFS(Residents!$G:$G,$A64,Residents!$ID:$ID,1,Residents!$IL:$IL,$C64),"")</f>
        <v/>
      </c>
      <c r="K64" t="str">
        <f>IF(K$5,COUNTIFS(Residents!$G:$G,$A64,Residents!$ID:$ID,1,Residents!$IL:$IL,$C64),"")</f>
        <v/>
      </c>
      <c r="L64" t="str">
        <f>IF(L$5,COUNTIFS(Residents!$G:$G,$A64,Residents!$ID:$ID,1,Residents!$IL:$IL,$C64),"")</f>
        <v/>
      </c>
      <c r="M64" t="str">
        <f>IF(M$5,COUNTIFS(Residents!$G:$G,$A64,Residents!$ID:$ID,1,Residents!$IL:$IL,$C64),"")</f>
        <v/>
      </c>
      <c r="N64" t="str">
        <f>IF(N$5,COUNTIFS(Residents!$G:$G,$A64,Residents!$ID:$ID,1,Residents!$IL:$IL,$C64),"")</f>
        <v/>
      </c>
      <c r="O64" t="str">
        <f>IF(O$5,COUNTIFS(Residents!$G:$G,$A64,Residents!$ID:$ID,1,Residents!$IL:$IL,$C64),"")</f>
        <v/>
      </c>
      <c r="P64" t="str">
        <f>IF(P$5,COUNTIFS(Residents!$G:$G,$A64,Residents!$ID:$ID,1,Residents!$IL:$IL,$C64),"")</f>
        <v/>
      </c>
      <c r="Q64" t="str">
        <f>IF(Q$5,COUNTIFS(Residents!$G:$G,$A64,Residents!$ID:$ID,1,Residents!$IL:$IL,$C64),"")</f>
        <v/>
      </c>
      <c r="R64" t="str">
        <f>IF(R$5,COUNTIFS(Residents!$G:$G,$A64,Residents!$ID:$ID,1,Residents!$IL:$IL,$C64),"")</f>
        <v/>
      </c>
    </row>
    <row r="65" spans="1:18" ht="15">
      <c r="A65" t="s">
        <v>41</v>
      </c>
      <c r="B65" t="str">
        <f t="shared" si="19"/>
        <v>Number of individuals for whom 12 pleasant moments/meaningful activities have been recorded</v>
      </c>
      <c r="C65">
        <f t="shared" si="20"/>
        <v>12</v>
      </c>
      <c r="E65" t="s">
        <v>465</v>
      </c>
      <c r="F65" t="str">
        <f>IF(F$5,COUNTIFS(Residents!$G:$G,$A65,Residents!$ID:$ID,1,Residents!$IL:$IL,$C65),"")</f>
        <v/>
      </c>
      <c r="G65" t="str">
        <f>IF(G$5,COUNTIFS(Residents!$G:$G,$A65,Residents!$ID:$ID,1,Residents!$IL:$IL,$C65),"")</f>
        <v/>
      </c>
      <c r="H65" t="str">
        <f>IF(H$5,COUNTIFS(Residents!$G:$G,$A65,Residents!$ID:$ID,1,Residents!$IL:$IL,$C65),"")</f>
        <v/>
      </c>
      <c r="I65" t="str">
        <f>IF(I$5,COUNTIFS(Residents!$G:$G,$A65,Residents!$ID:$ID,1,Residents!$IL:$IL,$C65),"")</f>
        <v/>
      </c>
      <c r="J65" t="str">
        <f>IF(J$5,COUNTIFS(Residents!$G:$G,$A65,Residents!$ID:$ID,1,Residents!$IL:$IL,$C65),"")</f>
        <v/>
      </c>
      <c r="K65" t="str">
        <f>IF(K$5,COUNTIFS(Residents!$G:$G,$A65,Residents!$ID:$ID,1,Residents!$IL:$IL,$C65),"")</f>
        <v/>
      </c>
      <c r="L65" t="str">
        <f>IF(L$5,COUNTIFS(Residents!$G:$G,$A65,Residents!$ID:$ID,1,Residents!$IL:$IL,$C65),"")</f>
        <v/>
      </c>
      <c r="M65" t="str">
        <f>IF(M$5,COUNTIFS(Residents!$G:$G,$A65,Residents!$ID:$ID,1,Residents!$IL:$IL,$C65),"")</f>
        <v/>
      </c>
      <c r="N65" t="str">
        <f>IF(N$5,COUNTIFS(Residents!$G:$G,$A65,Residents!$ID:$ID,1,Residents!$IL:$IL,$C65),"")</f>
        <v/>
      </c>
      <c r="O65" t="str">
        <f>IF(O$5,COUNTIFS(Residents!$G:$G,$A65,Residents!$ID:$ID,1,Residents!$IL:$IL,$C65),"")</f>
        <v/>
      </c>
      <c r="P65" t="str">
        <f>IF(P$5,COUNTIFS(Residents!$G:$G,$A65,Residents!$ID:$ID,1,Residents!$IL:$IL,$C65),"")</f>
        <v/>
      </c>
      <c r="Q65" t="str">
        <f>IF(Q$5,COUNTIFS(Residents!$G:$G,$A65,Residents!$ID:$ID,1,Residents!$IL:$IL,$C65),"")</f>
        <v/>
      </c>
      <c r="R65" t="str">
        <f>IF(R$5,COUNTIFS(Residents!$G:$G,$A65,Residents!$ID:$ID,1,Residents!$IL:$IL,$C65),"")</f>
        <v/>
      </c>
    </row>
    <row r="66" spans="1:18" ht="15">
      <c r="A66" t="s">
        <v>41</v>
      </c>
      <c r="B66" t="str">
        <f>"Number of individuals with Dementia dx only with "&amp;C66&amp;" PTM orders"</f>
        <v>Number of individuals with Dementia dx only with 0 PTM orders</v>
      </c>
      <c r="C66">
        <v>0</v>
      </c>
      <c r="E66" t="s">
        <v>465</v>
      </c>
      <c r="F66" t="str">
        <f>IF(F$5,COUNTIFS(Residents!$G:$G,$A66,Residents!$ID:$ID,1,Residents!$IE:$IE,1,Residents!$IF:$IF,0,Residents!$IG:$IG,$C66),"")</f>
        <v/>
      </c>
      <c r="G66" t="str">
        <f>IF(G$5,COUNTIFS(Residents!$G:$G,$A66,Residents!$ID:$ID,1,Residents!$IE:$IE,1,Residents!$IF:$IF,0,Residents!$IG:$IG,$C66),"")</f>
        <v/>
      </c>
      <c r="H66" t="str">
        <f>IF(H$5,COUNTIFS(Residents!$G:$G,$A66,Residents!$ID:$ID,1,Residents!$IE:$IE,1,Residents!$IF:$IF,0,Residents!$IG:$IG,$C66),"")</f>
        <v/>
      </c>
      <c r="I66" t="str">
        <f>IF(I$5,COUNTIFS(Residents!$G:$G,$A66,Residents!$ID:$ID,1,Residents!$IE:$IE,1,Residents!$IF:$IF,0,Residents!$IG:$IG,$C66),"")</f>
        <v/>
      </c>
      <c r="J66" t="str">
        <f>IF(J$5,COUNTIFS(Residents!$G:$G,$A66,Residents!$ID:$ID,1,Residents!$IE:$IE,1,Residents!$IF:$IF,0,Residents!$IG:$IG,$C66),"")</f>
        <v/>
      </c>
      <c r="K66" t="str">
        <f>IF(K$5,COUNTIFS(Residents!$G:$G,$A66,Residents!$ID:$ID,1,Residents!$IE:$IE,1,Residents!$IF:$IF,0,Residents!$IG:$IG,$C66),"")</f>
        <v/>
      </c>
      <c r="L66" t="str">
        <f>IF(L$5,COUNTIFS(Residents!$G:$G,$A66,Residents!$ID:$ID,1,Residents!$IE:$IE,1,Residents!$IF:$IF,0,Residents!$IG:$IG,$C66),"")</f>
        <v/>
      </c>
      <c r="M66" t="str">
        <f>IF(M$5,COUNTIFS(Residents!$G:$G,$A66,Residents!$ID:$ID,1,Residents!$IE:$IE,1,Residents!$IF:$IF,0,Residents!$IG:$IG,$C66),"")</f>
        <v/>
      </c>
      <c r="N66" t="str">
        <f>IF(N$5,COUNTIFS(Residents!$G:$G,$A66,Residents!$ID:$ID,1,Residents!$IE:$IE,1,Residents!$IF:$IF,0,Residents!$IG:$IG,$C66),"")</f>
        <v/>
      </c>
      <c r="O66" t="str">
        <f>IF(O$5,COUNTIFS(Residents!$G:$G,$A66,Residents!$ID:$ID,1,Residents!$IE:$IE,1,Residents!$IF:$IF,0,Residents!$IG:$IG,$C66),"")</f>
        <v/>
      </c>
      <c r="P66" t="str">
        <f>IF(P$5,COUNTIFS(Residents!$G:$G,$A66,Residents!$ID:$ID,1,Residents!$IE:$IE,1,Residents!$IF:$IF,0,Residents!$IG:$IG,$C66),"")</f>
        <v/>
      </c>
      <c r="Q66" t="str">
        <f>IF(Q$5,COUNTIFS(Residents!$G:$G,$A66,Residents!$ID:$ID,1,Residents!$IE:$IE,1,Residents!$IF:$IF,0,Residents!$IG:$IG,$C66),"")</f>
        <v/>
      </c>
      <c r="R66" t="str">
        <f>IF(R$5,COUNTIFS(Residents!$G:$G,$A66,Residents!$ID:$ID,1,Residents!$IE:$IE,1,Residents!$IF:$IF,0,Residents!$IG:$IG,$C66),"")</f>
        <v/>
      </c>
    </row>
    <row r="67" spans="1:18" ht="15">
      <c r="A67" t="s">
        <v>41</v>
      </c>
      <c r="B67" t="str">
        <f>"Number of individuals with Dementia dx only with "&amp;C67&amp;" PTM orders"</f>
        <v>Number of individuals with Dementia dx only with 1 PTM orders</v>
      </c>
      <c r="C67">
        <v>1</v>
      </c>
      <c r="E67" t="s">
        <v>465</v>
      </c>
      <c r="F67" t="str">
        <f>IF(F$5,COUNTIFS(Residents!$G:$G,$A67,Residents!$ID:$ID,1,Residents!$IE:$IE,1,Residents!$IF:$IF,0,Residents!$IG:$IG,$C67),"")</f>
        <v/>
      </c>
      <c r="G67" t="str">
        <f>IF(G$5,COUNTIFS(Residents!$G:$G,$A67,Residents!$ID:$ID,1,Residents!$IE:$IE,1,Residents!$IF:$IF,0,Residents!$IG:$IG,$C67),"")</f>
        <v/>
      </c>
      <c r="H67" t="str">
        <f>IF(H$5,COUNTIFS(Residents!$G:$G,$A67,Residents!$ID:$ID,1,Residents!$IE:$IE,1,Residents!$IF:$IF,0,Residents!$IG:$IG,$C67),"")</f>
        <v/>
      </c>
      <c r="I67" t="str">
        <f>IF(I$5,COUNTIFS(Residents!$G:$G,$A67,Residents!$ID:$ID,1,Residents!$IE:$IE,1,Residents!$IF:$IF,0,Residents!$IG:$IG,$C67),"")</f>
        <v/>
      </c>
      <c r="J67" t="str">
        <f>IF(J$5,COUNTIFS(Residents!$G:$G,$A67,Residents!$ID:$ID,1,Residents!$IE:$IE,1,Residents!$IF:$IF,0,Residents!$IG:$IG,$C67),"")</f>
        <v/>
      </c>
      <c r="K67" t="str">
        <f>IF(K$5,COUNTIFS(Residents!$G:$G,$A67,Residents!$ID:$ID,1,Residents!$IE:$IE,1,Residents!$IF:$IF,0,Residents!$IG:$IG,$C67),"")</f>
        <v/>
      </c>
      <c r="L67" t="str">
        <f>IF(L$5,COUNTIFS(Residents!$G:$G,$A67,Residents!$ID:$ID,1,Residents!$IE:$IE,1,Residents!$IF:$IF,0,Residents!$IG:$IG,$C67),"")</f>
        <v/>
      </c>
      <c r="M67" t="str">
        <f>IF(M$5,COUNTIFS(Residents!$G:$G,$A67,Residents!$ID:$ID,1,Residents!$IE:$IE,1,Residents!$IF:$IF,0,Residents!$IG:$IG,$C67),"")</f>
        <v/>
      </c>
      <c r="N67" t="str">
        <f>IF(N$5,COUNTIFS(Residents!$G:$G,$A67,Residents!$ID:$ID,1,Residents!$IE:$IE,1,Residents!$IF:$IF,0,Residents!$IG:$IG,$C67),"")</f>
        <v/>
      </c>
      <c r="O67" t="str">
        <f>IF(O$5,COUNTIFS(Residents!$G:$G,$A67,Residents!$ID:$ID,1,Residents!$IE:$IE,1,Residents!$IF:$IF,0,Residents!$IG:$IG,$C67),"")</f>
        <v/>
      </c>
      <c r="P67" t="str">
        <f>IF(P$5,COUNTIFS(Residents!$G:$G,$A67,Residents!$ID:$ID,1,Residents!$IE:$IE,1,Residents!$IF:$IF,0,Residents!$IG:$IG,$C67),"")</f>
        <v/>
      </c>
      <c r="Q67" t="str">
        <f>IF(Q$5,COUNTIFS(Residents!$G:$G,$A67,Residents!$ID:$ID,1,Residents!$IE:$IE,1,Residents!$IF:$IF,0,Residents!$IG:$IG,$C67),"")</f>
        <v/>
      </c>
      <c r="R67" t="str">
        <f>IF(R$5,COUNTIFS(Residents!$G:$G,$A67,Residents!$ID:$ID,1,Residents!$IE:$IE,1,Residents!$IF:$IF,0,Residents!$IG:$IG,$C67),"")</f>
        <v/>
      </c>
    </row>
    <row r="68" spans="1:18" ht="15">
      <c r="A68" t="s">
        <v>41</v>
      </c>
      <c r="B68" t="str">
        <f>"Number of individuals with Dementia dx only with "&amp;C68&amp;" PTM orders"</f>
        <v>Number of individuals with Dementia dx only with 2 PTM orders</v>
      </c>
      <c r="C68">
        <v>2</v>
      </c>
      <c r="E68" t="s">
        <v>465</v>
      </c>
      <c r="F68" t="str">
        <f>IF(F$5,COUNTIFS(Residents!$G:$G,$A68,Residents!$ID:$ID,1,Residents!$IE:$IE,1,Residents!$IF:$IF,0,Residents!$IG:$IG,$C68),"")</f>
        <v/>
      </c>
      <c r="G68" t="str">
        <f>IF(G$5,COUNTIFS(Residents!$G:$G,$A68,Residents!$ID:$ID,1,Residents!$IE:$IE,1,Residents!$IF:$IF,0,Residents!$IG:$IG,$C68),"")</f>
        <v/>
      </c>
      <c r="H68" t="str">
        <f>IF(H$5,COUNTIFS(Residents!$G:$G,$A68,Residents!$ID:$ID,1,Residents!$IE:$IE,1,Residents!$IF:$IF,0,Residents!$IG:$IG,$C68),"")</f>
        <v/>
      </c>
      <c r="I68" t="str">
        <f>IF(I$5,COUNTIFS(Residents!$G:$G,$A68,Residents!$ID:$ID,1,Residents!$IE:$IE,1,Residents!$IF:$IF,0,Residents!$IG:$IG,$C68),"")</f>
        <v/>
      </c>
      <c r="J68" t="str">
        <f>IF(J$5,COUNTIFS(Residents!$G:$G,$A68,Residents!$ID:$ID,1,Residents!$IE:$IE,1,Residents!$IF:$IF,0,Residents!$IG:$IG,$C68),"")</f>
        <v/>
      </c>
      <c r="K68" t="str">
        <f>IF(K$5,COUNTIFS(Residents!$G:$G,$A68,Residents!$ID:$ID,1,Residents!$IE:$IE,1,Residents!$IF:$IF,0,Residents!$IG:$IG,$C68),"")</f>
        <v/>
      </c>
      <c r="L68" t="str">
        <f>IF(L$5,COUNTIFS(Residents!$G:$G,$A68,Residents!$ID:$ID,1,Residents!$IE:$IE,1,Residents!$IF:$IF,0,Residents!$IG:$IG,$C68),"")</f>
        <v/>
      </c>
      <c r="M68" t="str">
        <f>IF(M$5,COUNTIFS(Residents!$G:$G,$A68,Residents!$ID:$ID,1,Residents!$IE:$IE,1,Residents!$IF:$IF,0,Residents!$IG:$IG,$C68),"")</f>
        <v/>
      </c>
      <c r="N68" t="str">
        <f>IF(N$5,COUNTIFS(Residents!$G:$G,$A68,Residents!$ID:$ID,1,Residents!$IE:$IE,1,Residents!$IF:$IF,0,Residents!$IG:$IG,$C68),"")</f>
        <v/>
      </c>
      <c r="O68" t="str">
        <f>IF(O$5,COUNTIFS(Residents!$G:$G,$A68,Residents!$ID:$ID,1,Residents!$IE:$IE,1,Residents!$IF:$IF,0,Residents!$IG:$IG,$C68),"")</f>
        <v/>
      </c>
      <c r="P68" t="str">
        <f>IF(P$5,COUNTIFS(Residents!$G:$G,$A68,Residents!$ID:$ID,1,Residents!$IE:$IE,1,Residents!$IF:$IF,0,Residents!$IG:$IG,$C68),"")</f>
        <v/>
      </c>
      <c r="Q68" t="str">
        <f>IF(Q$5,COUNTIFS(Residents!$G:$G,$A68,Residents!$ID:$ID,1,Residents!$IE:$IE,1,Residents!$IF:$IF,0,Residents!$IG:$IG,$C68),"")</f>
        <v/>
      </c>
      <c r="R68" t="str">
        <f>IF(R$5,COUNTIFS(Residents!$G:$G,$A68,Residents!$ID:$ID,1,Residents!$IE:$IE,1,Residents!$IF:$IF,0,Residents!$IG:$IG,$C68),"")</f>
        <v/>
      </c>
    </row>
    <row r="69" spans="1:18" ht="15">
      <c r="A69" t="s">
        <v>41</v>
      </c>
      <c r="B69" t="str">
        <f>"Number of individuals with Dementia dx only with "&amp;C69&amp;" PTM orders"</f>
        <v>Number of individuals with Dementia dx only with &gt;=3 PTM orders</v>
      </c>
      <c r="C69" t="s">
        <v>813</v>
      </c>
      <c r="E69" t="s">
        <v>465</v>
      </c>
      <c r="F69" t="str">
        <f>IF(F$5,COUNTIFS(Residents!$G:$G,$A69,Residents!$ID:$ID,1,Residents!$IE:$IE,1,Residents!$IF:$IF,0,Residents!$IG:$IG,$C69),"")</f>
        <v/>
      </c>
      <c r="G69" t="str">
        <f>IF(G$5,COUNTIFS(Residents!$G:$G,$A69,Residents!$ID:$ID,1,Residents!$IE:$IE,1,Residents!$IF:$IF,0,Residents!$IG:$IG,$C69),"")</f>
        <v/>
      </c>
      <c r="H69" t="str">
        <f>IF(H$5,COUNTIFS(Residents!$G:$G,$A69,Residents!$ID:$ID,1,Residents!$IE:$IE,1,Residents!$IF:$IF,0,Residents!$IG:$IG,$C69),"")</f>
        <v/>
      </c>
      <c r="I69" t="str">
        <f>IF(I$5,COUNTIFS(Residents!$G:$G,$A69,Residents!$ID:$ID,1,Residents!$IE:$IE,1,Residents!$IF:$IF,0,Residents!$IG:$IG,$C69),"")</f>
        <v/>
      </c>
      <c r="J69" t="str">
        <f>IF(J$5,COUNTIFS(Residents!$G:$G,$A69,Residents!$ID:$ID,1,Residents!$IE:$IE,1,Residents!$IF:$IF,0,Residents!$IG:$IG,$C69),"")</f>
        <v/>
      </c>
      <c r="K69" t="str">
        <f>IF(K$5,COUNTIFS(Residents!$G:$G,$A69,Residents!$ID:$ID,1,Residents!$IE:$IE,1,Residents!$IF:$IF,0,Residents!$IG:$IG,$C69),"")</f>
        <v/>
      </c>
      <c r="L69" t="str">
        <f>IF(L$5,COUNTIFS(Residents!$G:$G,$A69,Residents!$ID:$ID,1,Residents!$IE:$IE,1,Residents!$IF:$IF,0,Residents!$IG:$IG,$C69),"")</f>
        <v/>
      </c>
      <c r="M69" t="str">
        <f>IF(M$5,COUNTIFS(Residents!$G:$G,$A69,Residents!$ID:$ID,1,Residents!$IE:$IE,1,Residents!$IF:$IF,0,Residents!$IG:$IG,$C69),"")</f>
        <v/>
      </c>
      <c r="N69" t="str">
        <f>IF(N$5,COUNTIFS(Residents!$G:$G,$A69,Residents!$ID:$ID,1,Residents!$IE:$IE,1,Residents!$IF:$IF,0,Residents!$IG:$IG,$C69),"")</f>
        <v/>
      </c>
      <c r="O69" t="str">
        <f>IF(O$5,COUNTIFS(Residents!$G:$G,$A69,Residents!$ID:$ID,1,Residents!$IE:$IE,1,Residents!$IF:$IF,0,Residents!$IG:$IG,$C69),"")</f>
        <v/>
      </c>
      <c r="P69" t="str">
        <f>IF(P$5,COUNTIFS(Residents!$G:$G,$A69,Residents!$ID:$ID,1,Residents!$IE:$IE,1,Residents!$IF:$IF,0,Residents!$IG:$IG,$C69),"")</f>
        <v/>
      </c>
      <c r="Q69" t="str">
        <f>IF(Q$5,COUNTIFS(Residents!$G:$G,$A69,Residents!$ID:$ID,1,Residents!$IE:$IE,1,Residents!$IF:$IF,0,Residents!$IG:$IG,$C69),"")</f>
        <v/>
      </c>
      <c r="R69" t="str">
        <f>IF(R$5,COUNTIFS(Residents!$G:$G,$A69,Residents!$ID:$ID,1,Residents!$IE:$IE,1,Residents!$IF:$IF,0,Residents!$IG:$IG,$C69),"")</f>
        <v/>
      </c>
    </row>
    <row r="70" spans="1:18" ht="15">
      <c r="A70" t="s">
        <v>41</v>
      </c>
      <c r="B70" t="str">
        <f>"Number of individuals with MH dx only with "&amp;C70&amp;" PTM orders"</f>
        <v>Number of individuals with MH dx only with 0 PTM orders</v>
      </c>
      <c r="C70">
        <f>C66</f>
        <v>0</v>
      </c>
      <c r="E70" t="s">
        <v>465</v>
      </c>
      <c r="F70" t="str">
        <f>IF(F$5,COUNTIFS(Residents!$G:$G,$A70,Residents!$ID:$ID,1,Residents!$IE:$IE,0,Residents!$IF:$IF,1,Residents!$IG:$IG,$C70),"")</f>
        <v/>
      </c>
      <c r="G70" t="str">
        <f>IF(G$5,COUNTIFS(Residents!$G:$G,$A70,Residents!$ID:$ID,1,Residents!$IE:$IE,0,Residents!$IF:$IF,1,Residents!$IG:$IG,$C70),"")</f>
        <v/>
      </c>
      <c r="H70" t="str">
        <f>IF(H$5,COUNTIFS(Residents!$G:$G,$A70,Residents!$ID:$ID,1,Residents!$IE:$IE,0,Residents!$IF:$IF,1,Residents!$IG:$IG,$C70),"")</f>
        <v/>
      </c>
      <c r="I70" t="str">
        <f>IF(I$5,COUNTIFS(Residents!$G:$G,$A70,Residents!$ID:$ID,1,Residents!$IE:$IE,0,Residents!$IF:$IF,1,Residents!$IG:$IG,$C70),"")</f>
        <v/>
      </c>
      <c r="J70" t="str">
        <f>IF(J$5,COUNTIFS(Residents!$G:$G,$A70,Residents!$ID:$ID,1,Residents!$IE:$IE,0,Residents!$IF:$IF,1,Residents!$IG:$IG,$C70),"")</f>
        <v/>
      </c>
      <c r="K70" t="str">
        <f>IF(K$5,COUNTIFS(Residents!$G:$G,$A70,Residents!$ID:$ID,1,Residents!$IE:$IE,0,Residents!$IF:$IF,1,Residents!$IG:$IG,$C70),"")</f>
        <v/>
      </c>
      <c r="L70" t="str">
        <f>IF(L$5,COUNTIFS(Residents!$G:$G,$A70,Residents!$ID:$ID,1,Residents!$IE:$IE,0,Residents!$IF:$IF,1,Residents!$IG:$IG,$C70),"")</f>
        <v/>
      </c>
      <c r="M70" t="str">
        <f>IF(M$5,COUNTIFS(Residents!$G:$G,$A70,Residents!$ID:$ID,1,Residents!$IE:$IE,0,Residents!$IF:$IF,1,Residents!$IG:$IG,$C70),"")</f>
        <v/>
      </c>
      <c r="N70" t="str">
        <f>IF(N$5,COUNTIFS(Residents!$G:$G,$A70,Residents!$ID:$ID,1,Residents!$IE:$IE,0,Residents!$IF:$IF,1,Residents!$IG:$IG,$C70),"")</f>
        <v/>
      </c>
      <c r="O70" t="str">
        <f>IF(O$5,COUNTIFS(Residents!$G:$G,$A70,Residents!$ID:$ID,1,Residents!$IE:$IE,0,Residents!$IF:$IF,1,Residents!$IG:$IG,$C70),"")</f>
        <v/>
      </c>
      <c r="P70" t="str">
        <f>IF(P$5,COUNTIFS(Residents!$G:$G,$A70,Residents!$ID:$ID,1,Residents!$IE:$IE,0,Residents!$IF:$IF,1,Residents!$IG:$IG,$C70),"")</f>
        <v/>
      </c>
      <c r="Q70" t="str">
        <f>IF(Q$5,COUNTIFS(Residents!$G:$G,$A70,Residents!$ID:$ID,1,Residents!$IE:$IE,0,Residents!$IF:$IF,1,Residents!$IG:$IG,$C70),"")</f>
        <v/>
      </c>
      <c r="R70" t="str">
        <f>IF(R$5,COUNTIFS(Residents!$G:$G,$A70,Residents!$ID:$ID,1,Residents!$IE:$IE,0,Residents!$IF:$IF,1,Residents!$IG:$IG,$C70),"")</f>
        <v/>
      </c>
    </row>
    <row r="71" spans="1:18" ht="15">
      <c r="A71" t="s">
        <v>41</v>
      </c>
      <c r="B71" t="str">
        <f>"Number of individuals with MH dx only with "&amp;C71&amp;" PTM orders"</f>
        <v>Number of individuals with MH dx only with 1 PTM orders</v>
      </c>
      <c r="C71">
        <f aca="true" t="shared" si="21" ref="C71:C81">C67</f>
        <v>1</v>
      </c>
      <c r="E71" t="s">
        <v>465</v>
      </c>
      <c r="F71" t="str">
        <f>IF(F$5,COUNTIFS(Residents!$G:$G,$A71,Residents!$ID:$ID,1,Residents!$IE:$IE,0,Residents!$IF:$IF,1,Residents!$IG:$IG,$C71),"")</f>
        <v/>
      </c>
      <c r="G71" t="str">
        <f>IF(G$5,COUNTIFS(Residents!$G:$G,$A71,Residents!$ID:$ID,1,Residents!$IE:$IE,0,Residents!$IF:$IF,1,Residents!$IG:$IG,$C71),"")</f>
        <v/>
      </c>
      <c r="H71" t="str">
        <f>IF(H$5,COUNTIFS(Residents!$G:$G,$A71,Residents!$ID:$ID,1,Residents!$IE:$IE,0,Residents!$IF:$IF,1,Residents!$IG:$IG,$C71),"")</f>
        <v/>
      </c>
      <c r="I71" t="str">
        <f>IF(I$5,COUNTIFS(Residents!$G:$G,$A71,Residents!$ID:$ID,1,Residents!$IE:$IE,0,Residents!$IF:$IF,1,Residents!$IG:$IG,$C71),"")</f>
        <v/>
      </c>
      <c r="J71" t="str">
        <f>IF(J$5,COUNTIFS(Residents!$G:$G,$A71,Residents!$ID:$ID,1,Residents!$IE:$IE,0,Residents!$IF:$IF,1,Residents!$IG:$IG,$C71),"")</f>
        <v/>
      </c>
      <c r="K71" t="str">
        <f>IF(K$5,COUNTIFS(Residents!$G:$G,$A71,Residents!$ID:$ID,1,Residents!$IE:$IE,0,Residents!$IF:$IF,1,Residents!$IG:$IG,$C71),"")</f>
        <v/>
      </c>
      <c r="L71" t="str">
        <f>IF(L$5,COUNTIFS(Residents!$G:$G,$A71,Residents!$ID:$ID,1,Residents!$IE:$IE,0,Residents!$IF:$IF,1,Residents!$IG:$IG,$C71),"")</f>
        <v/>
      </c>
      <c r="M71" t="str">
        <f>IF(M$5,COUNTIFS(Residents!$G:$G,$A71,Residents!$ID:$ID,1,Residents!$IE:$IE,0,Residents!$IF:$IF,1,Residents!$IG:$IG,$C71),"")</f>
        <v/>
      </c>
      <c r="N71" t="str">
        <f>IF(N$5,COUNTIFS(Residents!$G:$G,$A71,Residents!$ID:$ID,1,Residents!$IE:$IE,0,Residents!$IF:$IF,1,Residents!$IG:$IG,$C71),"")</f>
        <v/>
      </c>
      <c r="O71" t="str">
        <f>IF(O$5,COUNTIFS(Residents!$G:$G,$A71,Residents!$ID:$ID,1,Residents!$IE:$IE,0,Residents!$IF:$IF,1,Residents!$IG:$IG,$C71),"")</f>
        <v/>
      </c>
      <c r="P71" t="str">
        <f>IF(P$5,COUNTIFS(Residents!$G:$G,$A71,Residents!$ID:$ID,1,Residents!$IE:$IE,0,Residents!$IF:$IF,1,Residents!$IG:$IG,$C71),"")</f>
        <v/>
      </c>
      <c r="Q71" t="str">
        <f>IF(Q$5,COUNTIFS(Residents!$G:$G,$A71,Residents!$ID:$ID,1,Residents!$IE:$IE,0,Residents!$IF:$IF,1,Residents!$IG:$IG,$C71),"")</f>
        <v/>
      </c>
      <c r="R71" t="str">
        <f>IF(R$5,COUNTIFS(Residents!$G:$G,$A71,Residents!$ID:$ID,1,Residents!$IE:$IE,0,Residents!$IF:$IF,1,Residents!$IG:$IG,$C71),"")</f>
        <v/>
      </c>
    </row>
    <row r="72" spans="1:18" ht="15">
      <c r="A72" t="s">
        <v>41</v>
      </c>
      <c r="B72" t="str">
        <f>"Number of individuals with MH dx only with "&amp;C72&amp;" PTM orders"</f>
        <v>Number of individuals with MH dx only with 2 PTM orders</v>
      </c>
      <c r="C72">
        <f t="shared" si="21"/>
        <v>2</v>
      </c>
      <c r="E72" t="s">
        <v>465</v>
      </c>
      <c r="F72" t="str">
        <f>IF(F$5,COUNTIFS(Residents!$G:$G,$A72,Residents!$ID:$ID,1,Residents!$IE:$IE,0,Residents!$IF:$IF,1,Residents!$IG:$IG,$C72),"")</f>
        <v/>
      </c>
      <c r="G72" t="str">
        <f>IF(G$5,COUNTIFS(Residents!$G:$G,$A72,Residents!$ID:$ID,1,Residents!$IE:$IE,0,Residents!$IF:$IF,1,Residents!$IG:$IG,$C72),"")</f>
        <v/>
      </c>
      <c r="H72" t="str">
        <f>IF(H$5,COUNTIFS(Residents!$G:$G,$A72,Residents!$ID:$ID,1,Residents!$IE:$IE,0,Residents!$IF:$IF,1,Residents!$IG:$IG,$C72),"")</f>
        <v/>
      </c>
      <c r="I72" t="str">
        <f>IF(I$5,COUNTIFS(Residents!$G:$G,$A72,Residents!$ID:$ID,1,Residents!$IE:$IE,0,Residents!$IF:$IF,1,Residents!$IG:$IG,$C72),"")</f>
        <v/>
      </c>
      <c r="J72" t="str">
        <f>IF(J$5,COUNTIFS(Residents!$G:$G,$A72,Residents!$ID:$ID,1,Residents!$IE:$IE,0,Residents!$IF:$IF,1,Residents!$IG:$IG,$C72),"")</f>
        <v/>
      </c>
      <c r="K72" t="str">
        <f>IF(K$5,COUNTIFS(Residents!$G:$G,$A72,Residents!$ID:$ID,1,Residents!$IE:$IE,0,Residents!$IF:$IF,1,Residents!$IG:$IG,$C72),"")</f>
        <v/>
      </c>
      <c r="L72" t="str">
        <f>IF(L$5,COUNTIFS(Residents!$G:$G,$A72,Residents!$ID:$ID,1,Residents!$IE:$IE,0,Residents!$IF:$IF,1,Residents!$IG:$IG,$C72),"")</f>
        <v/>
      </c>
      <c r="M72" t="str">
        <f>IF(M$5,COUNTIFS(Residents!$G:$G,$A72,Residents!$ID:$ID,1,Residents!$IE:$IE,0,Residents!$IF:$IF,1,Residents!$IG:$IG,$C72),"")</f>
        <v/>
      </c>
      <c r="N72" t="str">
        <f>IF(N$5,COUNTIFS(Residents!$G:$G,$A72,Residents!$ID:$ID,1,Residents!$IE:$IE,0,Residents!$IF:$IF,1,Residents!$IG:$IG,$C72),"")</f>
        <v/>
      </c>
      <c r="O72" t="str">
        <f>IF(O$5,COUNTIFS(Residents!$G:$G,$A72,Residents!$ID:$ID,1,Residents!$IE:$IE,0,Residents!$IF:$IF,1,Residents!$IG:$IG,$C72),"")</f>
        <v/>
      </c>
      <c r="P72" t="str">
        <f>IF(P$5,COUNTIFS(Residents!$G:$G,$A72,Residents!$ID:$ID,1,Residents!$IE:$IE,0,Residents!$IF:$IF,1,Residents!$IG:$IG,$C72),"")</f>
        <v/>
      </c>
      <c r="Q72" t="str">
        <f>IF(Q$5,COUNTIFS(Residents!$G:$G,$A72,Residents!$ID:$ID,1,Residents!$IE:$IE,0,Residents!$IF:$IF,1,Residents!$IG:$IG,$C72),"")</f>
        <v/>
      </c>
      <c r="R72" t="str">
        <f>IF(R$5,COUNTIFS(Residents!$G:$G,$A72,Residents!$ID:$ID,1,Residents!$IE:$IE,0,Residents!$IF:$IF,1,Residents!$IG:$IG,$C72),"")</f>
        <v/>
      </c>
    </row>
    <row r="73" spans="1:18" ht="15">
      <c r="A73" t="s">
        <v>41</v>
      </c>
      <c r="B73" t="str">
        <f>"Number of individuals with MH dx only with "&amp;C73&amp;" PTM orders"</f>
        <v>Number of individuals with MH dx only with &gt;=3 PTM orders</v>
      </c>
      <c r="C73" t="str">
        <f t="shared" si="21"/>
        <v>&gt;=3</v>
      </c>
      <c r="E73" t="s">
        <v>465</v>
      </c>
      <c r="F73" t="str">
        <f>IF(F$5,COUNTIFS(Residents!$G:$G,$A73,Residents!$ID:$ID,1,Residents!$IE:$IE,0,Residents!$IF:$IF,1,Residents!$IG:$IG,$C73),"")</f>
        <v/>
      </c>
      <c r="G73" t="str">
        <f>IF(G$5,COUNTIFS(Residents!$G:$G,$A73,Residents!$ID:$ID,1,Residents!$IE:$IE,0,Residents!$IF:$IF,1,Residents!$IG:$IG,$C73),"")</f>
        <v/>
      </c>
      <c r="H73" t="str">
        <f>IF(H$5,COUNTIFS(Residents!$G:$G,$A73,Residents!$ID:$ID,1,Residents!$IE:$IE,0,Residents!$IF:$IF,1,Residents!$IG:$IG,$C73),"")</f>
        <v/>
      </c>
      <c r="I73" t="str">
        <f>IF(I$5,COUNTIFS(Residents!$G:$G,$A73,Residents!$ID:$ID,1,Residents!$IE:$IE,0,Residents!$IF:$IF,1,Residents!$IG:$IG,$C73),"")</f>
        <v/>
      </c>
      <c r="J73" t="str">
        <f>IF(J$5,COUNTIFS(Residents!$G:$G,$A73,Residents!$ID:$ID,1,Residents!$IE:$IE,0,Residents!$IF:$IF,1,Residents!$IG:$IG,$C73),"")</f>
        <v/>
      </c>
      <c r="K73" t="str">
        <f>IF(K$5,COUNTIFS(Residents!$G:$G,$A73,Residents!$ID:$ID,1,Residents!$IE:$IE,0,Residents!$IF:$IF,1,Residents!$IG:$IG,$C73),"")</f>
        <v/>
      </c>
      <c r="L73" t="str">
        <f>IF(L$5,COUNTIFS(Residents!$G:$G,$A73,Residents!$ID:$ID,1,Residents!$IE:$IE,0,Residents!$IF:$IF,1,Residents!$IG:$IG,$C73),"")</f>
        <v/>
      </c>
      <c r="M73" t="str">
        <f>IF(M$5,COUNTIFS(Residents!$G:$G,$A73,Residents!$ID:$ID,1,Residents!$IE:$IE,0,Residents!$IF:$IF,1,Residents!$IG:$IG,$C73),"")</f>
        <v/>
      </c>
      <c r="N73" t="str">
        <f>IF(N$5,COUNTIFS(Residents!$G:$G,$A73,Residents!$ID:$ID,1,Residents!$IE:$IE,0,Residents!$IF:$IF,1,Residents!$IG:$IG,$C73),"")</f>
        <v/>
      </c>
      <c r="O73" t="str">
        <f>IF(O$5,COUNTIFS(Residents!$G:$G,$A73,Residents!$ID:$ID,1,Residents!$IE:$IE,0,Residents!$IF:$IF,1,Residents!$IG:$IG,$C73),"")</f>
        <v/>
      </c>
      <c r="P73" t="str">
        <f>IF(P$5,COUNTIFS(Residents!$G:$G,$A73,Residents!$ID:$ID,1,Residents!$IE:$IE,0,Residents!$IF:$IF,1,Residents!$IG:$IG,$C73),"")</f>
        <v/>
      </c>
      <c r="Q73" t="str">
        <f>IF(Q$5,COUNTIFS(Residents!$G:$G,$A73,Residents!$ID:$ID,1,Residents!$IE:$IE,0,Residents!$IF:$IF,1,Residents!$IG:$IG,$C73),"")</f>
        <v/>
      </c>
      <c r="R73" t="str">
        <f>IF(R$5,COUNTIFS(Residents!$G:$G,$A73,Residents!$ID:$ID,1,Residents!$IE:$IE,0,Residents!$IF:$IF,1,Residents!$IG:$IG,$C73),"")</f>
        <v/>
      </c>
    </row>
    <row r="74" spans="1:18" ht="15">
      <c r="A74" t="s">
        <v>41</v>
      </c>
      <c r="B74" t="str">
        <f>"Number of individuals with Both dx with "&amp;C74&amp;" PTM orders"</f>
        <v>Number of individuals with Both dx with 0 PTM orders</v>
      </c>
      <c r="C74">
        <f t="shared" si="21"/>
        <v>0</v>
      </c>
      <c r="E74" t="s">
        <v>465</v>
      </c>
      <c r="F74" t="str">
        <f>IF(F$5,COUNTIFS(Residents!$G:$G,$A74,Residents!$ID:$ID,1,Residents!$IE:$IE,1,Residents!$IF:$IF,1,Residents!$IG:$IG,$C74),"")</f>
        <v/>
      </c>
      <c r="G74" t="str">
        <f>IF(G$5,COUNTIFS(Residents!$G:$G,$A74,Residents!$ID:$ID,1,Residents!$IE:$IE,1,Residents!$IF:$IF,1,Residents!$IG:$IG,$C74),"")</f>
        <v/>
      </c>
      <c r="H74" t="str">
        <f>IF(H$5,COUNTIFS(Residents!$G:$G,$A74,Residents!$ID:$ID,1,Residents!$IE:$IE,1,Residents!$IF:$IF,1,Residents!$IG:$IG,$C74),"")</f>
        <v/>
      </c>
      <c r="I74" t="str">
        <f>IF(I$5,COUNTIFS(Residents!$G:$G,$A74,Residents!$ID:$ID,1,Residents!$IE:$IE,1,Residents!$IF:$IF,1,Residents!$IG:$IG,$C74),"")</f>
        <v/>
      </c>
      <c r="J74" t="str">
        <f>IF(J$5,COUNTIFS(Residents!$G:$G,$A74,Residents!$ID:$ID,1,Residents!$IE:$IE,1,Residents!$IF:$IF,1,Residents!$IG:$IG,$C74),"")</f>
        <v/>
      </c>
      <c r="K74" t="str">
        <f>IF(K$5,COUNTIFS(Residents!$G:$G,$A74,Residents!$ID:$ID,1,Residents!$IE:$IE,1,Residents!$IF:$IF,1,Residents!$IG:$IG,$C74),"")</f>
        <v/>
      </c>
      <c r="L74" t="str">
        <f>IF(L$5,COUNTIFS(Residents!$G:$G,$A74,Residents!$ID:$ID,1,Residents!$IE:$IE,1,Residents!$IF:$IF,1,Residents!$IG:$IG,$C74),"")</f>
        <v/>
      </c>
      <c r="M74" t="str">
        <f>IF(M$5,COUNTIFS(Residents!$G:$G,$A74,Residents!$ID:$ID,1,Residents!$IE:$IE,1,Residents!$IF:$IF,1,Residents!$IG:$IG,$C74),"")</f>
        <v/>
      </c>
      <c r="N74" t="str">
        <f>IF(N$5,COUNTIFS(Residents!$G:$G,$A74,Residents!$ID:$ID,1,Residents!$IE:$IE,1,Residents!$IF:$IF,1,Residents!$IG:$IG,$C74),"")</f>
        <v/>
      </c>
      <c r="O74" t="str">
        <f>IF(O$5,COUNTIFS(Residents!$G:$G,$A74,Residents!$ID:$ID,1,Residents!$IE:$IE,1,Residents!$IF:$IF,1,Residents!$IG:$IG,$C74),"")</f>
        <v/>
      </c>
      <c r="P74" t="str">
        <f>IF(P$5,COUNTIFS(Residents!$G:$G,$A74,Residents!$ID:$ID,1,Residents!$IE:$IE,1,Residents!$IF:$IF,1,Residents!$IG:$IG,$C74),"")</f>
        <v/>
      </c>
      <c r="Q74" t="str">
        <f>IF(Q$5,COUNTIFS(Residents!$G:$G,$A74,Residents!$ID:$ID,1,Residents!$IE:$IE,1,Residents!$IF:$IF,1,Residents!$IG:$IG,$C74),"")</f>
        <v/>
      </c>
      <c r="R74" t="str">
        <f>IF(R$5,COUNTIFS(Residents!$G:$G,$A74,Residents!$ID:$ID,1,Residents!$IE:$IE,1,Residents!$IF:$IF,1,Residents!$IG:$IG,$C74),"")</f>
        <v/>
      </c>
    </row>
    <row r="75" spans="1:18" ht="15">
      <c r="A75" t="s">
        <v>41</v>
      </c>
      <c r="B75" t="str">
        <f>"Number of individuals with Both dx with "&amp;C75&amp;" PTM orders"</f>
        <v>Number of individuals with Both dx with 1 PTM orders</v>
      </c>
      <c r="C75">
        <f t="shared" si="21"/>
        <v>1</v>
      </c>
      <c r="E75" t="s">
        <v>465</v>
      </c>
      <c r="F75" t="str">
        <f>IF(F$5,COUNTIFS(Residents!$G:$G,$A75,Residents!$ID:$ID,1,Residents!$IE:$IE,1,Residents!$IF:$IF,1,Residents!$IG:$IG,$C75),"")</f>
        <v/>
      </c>
      <c r="G75" t="str">
        <f>IF(G$5,COUNTIFS(Residents!$G:$G,$A75,Residents!$ID:$ID,1,Residents!$IE:$IE,1,Residents!$IF:$IF,1,Residents!$IG:$IG,$C75),"")</f>
        <v/>
      </c>
      <c r="H75" t="str">
        <f>IF(H$5,COUNTIFS(Residents!$G:$G,$A75,Residents!$ID:$ID,1,Residents!$IE:$IE,1,Residents!$IF:$IF,1,Residents!$IG:$IG,$C75),"")</f>
        <v/>
      </c>
      <c r="I75" t="str">
        <f>IF(I$5,COUNTIFS(Residents!$G:$G,$A75,Residents!$ID:$ID,1,Residents!$IE:$IE,1,Residents!$IF:$IF,1,Residents!$IG:$IG,$C75),"")</f>
        <v/>
      </c>
      <c r="J75" t="str">
        <f>IF(J$5,COUNTIFS(Residents!$G:$G,$A75,Residents!$ID:$ID,1,Residents!$IE:$IE,1,Residents!$IF:$IF,1,Residents!$IG:$IG,$C75),"")</f>
        <v/>
      </c>
      <c r="K75" t="str">
        <f>IF(K$5,COUNTIFS(Residents!$G:$G,$A75,Residents!$ID:$ID,1,Residents!$IE:$IE,1,Residents!$IF:$IF,1,Residents!$IG:$IG,$C75),"")</f>
        <v/>
      </c>
      <c r="L75" t="str">
        <f>IF(L$5,COUNTIFS(Residents!$G:$G,$A75,Residents!$ID:$ID,1,Residents!$IE:$IE,1,Residents!$IF:$IF,1,Residents!$IG:$IG,$C75),"")</f>
        <v/>
      </c>
      <c r="M75" t="str">
        <f>IF(M$5,COUNTIFS(Residents!$G:$G,$A75,Residents!$ID:$ID,1,Residents!$IE:$IE,1,Residents!$IF:$IF,1,Residents!$IG:$IG,$C75),"")</f>
        <v/>
      </c>
      <c r="N75" t="str">
        <f>IF(N$5,COUNTIFS(Residents!$G:$G,$A75,Residents!$ID:$ID,1,Residents!$IE:$IE,1,Residents!$IF:$IF,1,Residents!$IG:$IG,$C75),"")</f>
        <v/>
      </c>
      <c r="O75" t="str">
        <f>IF(O$5,COUNTIFS(Residents!$G:$G,$A75,Residents!$ID:$ID,1,Residents!$IE:$IE,1,Residents!$IF:$IF,1,Residents!$IG:$IG,$C75),"")</f>
        <v/>
      </c>
      <c r="P75" t="str">
        <f>IF(P$5,COUNTIFS(Residents!$G:$G,$A75,Residents!$ID:$ID,1,Residents!$IE:$IE,1,Residents!$IF:$IF,1,Residents!$IG:$IG,$C75),"")</f>
        <v/>
      </c>
      <c r="Q75" t="str">
        <f>IF(Q$5,COUNTIFS(Residents!$G:$G,$A75,Residents!$ID:$ID,1,Residents!$IE:$IE,1,Residents!$IF:$IF,1,Residents!$IG:$IG,$C75),"")</f>
        <v/>
      </c>
      <c r="R75" t="str">
        <f>IF(R$5,COUNTIFS(Residents!$G:$G,$A75,Residents!$ID:$ID,1,Residents!$IE:$IE,1,Residents!$IF:$IF,1,Residents!$IG:$IG,$C75),"")</f>
        <v/>
      </c>
    </row>
    <row r="76" spans="1:18" ht="15">
      <c r="A76" t="s">
        <v>41</v>
      </c>
      <c r="B76" t="str">
        <f>"Number of individuals with Both dx with "&amp;C76&amp;" PTM orders"</f>
        <v>Number of individuals with Both dx with 2 PTM orders</v>
      </c>
      <c r="C76">
        <f t="shared" si="21"/>
        <v>2</v>
      </c>
      <c r="E76" t="s">
        <v>465</v>
      </c>
      <c r="F76" t="str">
        <f>IF(F$5,COUNTIFS(Residents!$G:$G,$A76,Residents!$ID:$ID,1,Residents!$IE:$IE,1,Residents!$IF:$IF,1,Residents!$IG:$IG,$C76),"")</f>
        <v/>
      </c>
      <c r="G76" t="str">
        <f>IF(G$5,COUNTIFS(Residents!$G:$G,$A76,Residents!$ID:$ID,1,Residents!$IE:$IE,1,Residents!$IF:$IF,1,Residents!$IG:$IG,$C76),"")</f>
        <v/>
      </c>
      <c r="H76" t="str">
        <f>IF(H$5,COUNTIFS(Residents!$G:$G,$A76,Residents!$ID:$ID,1,Residents!$IE:$IE,1,Residents!$IF:$IF,1,Residents!$IG:$IG,$C76),"")</f>
        <v/>
      </c>
      <c r="I76" t="str">
        <f>IF(I$5,COUNTIFS(Residents!$G:$G,$A76,Residents!$ID:$ID,1,Residents!$IE:$IE,1,Residents!$IF:$IF,1,Residents!$IG:$IG,$C76),"")</f>
        <v/>
      </c>
      <c r="J76" t="str">
        <f>IF(J$5,COUNTIFS(Residents!$G:$G,$A76,Residents!$ID:$ID,1,Residents!$IE:$IE,1,Residents!$IF:$IF,1,Residents!$IG:$IG,$C76),"")</f>
        <v/>
      </c>
      <c r="K76" t="str">
        <f>IF(K$5,COUNTIFS(Residents!$G:$G,$A76,Residents!$ID:$ID,1,Residents!$IE:$IE,1,Residents!$IF:$IF,1,Residents!$IG:$IG,$C76),"")</f>
        <v/>
      </c>
      <c r="L76" t="str">
        <f>IF(L$5,COUNTIFS(Residents!$G:$G,$A76,Residents!$ID:$ID,1,Residents!$IE:$IE,1,Residents!$IF:$IF,1,Residents!$IG:$IG,$C76),"")</f>
        <v/>
      </c>
      <c r="M76" t="str">
        <f>IF(M$5,COUNTIFS(Residents!$G:$G,$A76,Residents!$ID:$ID,1,Residents!$IE:$IE,1,Residents!$IF:$IF,1,Residents!$IG:$IG,$C76),"")</f>
        <v/>
      </c>
      <c r="N76" t="str">
        <f>IF(N$5,COUNTIFS(Residents!$G:$G,$A76,Residents!$ID:$ID,1,Residents!$IE:$IE,1,Residents!$IF:$IF,1,Residents!$IG:$IG,$C76),"")</f>
        <v/>
      </c>
      <c r="O76" t="str">
        <f>IF(O$5,COUNTIFS(Residents!$G:$G,$A76,Residents!$ID:$ID,1,Residents!$IE:$IE,1,Residents!$IF:$IF,1,Residents!$IG:$IG,$C76),"")</f>
        <v/>
      </c>
      <c r="P76" t="str">
        <f>IF(P$5,COUNTIFS(Residents!$G:$G,$A76,Residents!$ID:$ID,1,Residents!$IE:$IE,1,Residents!$IF:$IF,1,Residents!$IG:$IG,$C76),"")</f>
        <v/>
      </c>
      <c r="Q76" t="str">
        <f>IF(Q$5,COUNTIFS(Residents!$G:$G,$A76,Residents!$ID:$ID,1,Residents!$IE:$IE,1,Residents!$IF:$IF,1,Residents!$IG:$IG,$C76),"")</f>
        <v/>
      </c>
      <c r="R76" t="str">
        <f>IF(R$5,COUNTIFS(Residents!$G:$G,$A76,Residents!$ID:$ID,1,Residents!$IE:$IE,1,Residents!$IF:$IF,1,Residents!$IG:$IG,$C76),"")</f>
        <v/>
      </c>
    </row>
    <row r="77" spans="1:18" ht="15">
      <c r="A77" t="s">
        <v>41</v>
      </c>
      <c r="B77" t="str">
        <f>"Number of individuals with Both dx with "&amp;C77&amp;" PTM orders"</f>
        <v>Number of individuals with Both dx with &gt;=3 PTM orders</v>
      </c>
      <c r="C77" t="str">
        <f t="shared" si="21"/>
        <v>&gt;=3</v>
      </c>
      <c r="E77" t="s">
        <v>465</v>
      </c>
      <c r="F77" t="str">
        <f>IF(F$5,COUNTIFS(Residents!$G:$G,$A77,Residents!$ID:$ID,1,Residents!$IE:$IE,1,Residents!$IF:$IF,1,Residents!$IG:$IG,$C77),"")</f>
        <v/>
      </c>
      <c r="G77" t="str">
        <f>IF(G$5,COUNTIFS(Residents!$G:$G,$A77,Residents!$ID:$ID,1,Residents!$IE:$IE,1,Residents!$IF:$IF,1,Residents!$IG:$IG,$C77),"")</f>
        <v/>
      </c>
      <c r="H77" t="str">
        <f>IF(H$5,COUNTIFS(Residents!$G:$G,$A77,Residents!$ID:$ID,1,Residents!$IE:$IE,1,Residents!$IF:$IF,1,Residents!$IG:$IG,$C77),"")</f>
        <v/>
      </c>
      <c r="I77" t="str">
        <f>IF(I$5,COUNTIFS(Residents!$G:$G,$A77,Residents!$ID:$ID,1,Residents!$IE:$IE,1,Residents!$IF:$IF,1,Residents!$IG:$IG,$C77),"")</f>
        <v/>
      </c>
      <c r="J77" t="str">
        <f>IF(J$5,COUNTIFS(Residents!$G:$G,$A77,Residents!$ID:$ID,1,Residents!$IE:$IE,1,Residents!$IF:$IF,1,Residents!$IG:$IG,$C77),"")</f>
        <v/>
      </c>
      <c r="K77" t="str">
        <f>IF(K$5,COUNTIFS(Residents!$G:$G,$A77,Residents!$ID:$ID,1,Residents!$IE:$IE,1,Residents!$IF:$IF,1,Residents!$IG:$IG,$C77),"")</f>
        <v/>
      </c>
      <c r="L77" t="str">
        <f>IF(L$5,COUNTIFS(Residents!$G:$G,$A77,Residents!$ID:$ID,1,Residents!$IE:$IE,1,Residents!$IF:$IF,1,Residents!$IG:$IG,$C77),"")</f>
        <v/>
      </c>
      <c r="M77" t="str">
        <f>IF(M$5,COUNTIFS(Residents!$G:$G,$A77,Residents!$ID:$ID,1,Residents!$IE:$IE,1,Residents!$IF:$IF,1,Residents!$IG:$IG,$C77),"")</f>
        <v/>
      </c>
      <c r="N77" t="str">
        <f>IF(N$5,COUNTIFS(Residents!$G:$G,$A77,Residents!$ID:$ID,1,Residents!$IE:$IE,1,Residents!$IF:$IF,1,Residents!$IG:$IG,$C77),"")</f>
        <v/>
      </c>
      <c r="O77" t="str">
        <f>IF(O$5,COUNTIFS(Residents!$G:$G,$A77,Residents!$ID:$ID,1,Residents!$IE:$IE,1,Residents!$IF:$IF,1,Residents!$IG:$IG,$C77),"")</f>
        <v/>
      </c>
      <c r="P77" t="str">
        <f>IF(P$5,COUNTIFS(Residents!$G:$G,$A77,Residents!$ID:$ID,1,Residents!$IE:$IE,1,Residents!$IF:$IF,1,Residents!$IG:$IG,$C77),"")</f>
        <v/>
      </c>
      <c r="Q77" t="str">
        <f>IF(Q$5,COUNTIFS(Residents!$G:$G,$A77,Residents!$ID:$ID,1,Residents!$IE:$IE,1,Residents!$IF:$IF,1,Residents!$IG:$IG,$C77),"")</f>
        <v/>
      </c>
      <c r="R77" t="str">
        <f>IF(R$5,COUNTIFS(Residents!$G:$G,$A77,Residents!$ID:$ID,1,Residents!$IE:$IE,1,Residents!$IF:$IF,1,Residents!$IG:$IG,$C77),"")</f>
        <v/>
      </c>
    </row>
    <row r="78" spans="1:18" ht="15">
      <c r="A78" t="s">
        <v>41</v>
      </c>
      <c r="B78" t="str">
        <f>"Number of individuals with Neither dx with "&amp;C78&amp;" PTM orders"</f>
        <v>Number of individuals with Neither dx with 0 PTM orders</v>
      </c>
      <c r="C78">
        <f t="shared" si="21"/>
        <v>0</v>
      </c>
      <c r="E78" t="s">
        <v>465</v>
      </c>
      <c r="F78" t="str">
        <f>IF(F$5,COUNTIFS(Residents!$G:$G,$A78,Residents!$ID:$ID,1,Residents!$IE:$IE,0,Residents!$IF:$IF,0,Residents!$IG:$IG,$C78),"")</f>
        <v/>
      </c>
      <c r="G78" t="str">
        <f>IF(G$5,COUNTIFS(Residents!$G:$G,$A78,Residents!$ID:$ID,1,Residents!$IE:$IE,0,Residents!$IF:$IF,0,Residents!$IG:$IG,$C78),"")</f>
        <v/>
      </c>
      <c r="H78" t="str">
        <f>IF(H$5,COUNTIFS(Residents!$G:$G,$A78,Residents!$ID:$ID,1,Residents!$IE:$IE,0,Residents!$IF:$IF,0,Residents!$IG:$IG,$C78),"")</f>
        <v/>
      </c>
      <c r="I78" t="str">
        <f>IF(I$5,COUNTIFS(Residents!$G:$G,$A78,Residents!$ID:$ID,1,Residents!$IE:$IE,0,Residents!$IF:$IF,0,Residents!$IG:$IG,$C78),"")</f>
        <v/>
      </c>
      <c r="J78" t="str">
        <f>IF(J$5,COUNTIFS(Residents!$G:$G,$A78,Residents!$ID:$ID,1,Residents!$IE:$IE,0,Residents!$IF:$IF,0,Residents!$IG:$IG,$C78),"")</f>
        <v/>
      </c>
      <c r="K78" t="str">
        <f>IF(K$5,COUNTIFS(Residents!$G:$G,$A78,Residents!$ID:$ID,1,Residents!$IE:$IE,0,Residents!$IF:$IF,0,Residents!$IG:$IG,$C78),"")</f>
        <v/>
      </c>
      <c r="L78" t="str">
        <f>IF(L$5,COUNTIFS(Residents!$G:$G,$A78,Residents!$ID:$ID,1,Residents!$IE:$IE,0,Residents!$IF:$IF,0,Residents!$IG:$IG,$C78),"")</f>
        <v/>
      </c>
      <c r="M78" t="str">
        <f>IF(M$5,COUNTIFS(Residents!$G:$G,$A78,Residents!$ID:$ID,1,Residents!$IE:$IE,0,Residents!$IF:$IF,0,Residents!$IG:$IG,$C78),"")</f>
        <v/>
      </c>
      <c r="N78" t="str">
        <f>IF(N$5,COUNTIFS(Residents!$G:$G,$A78,Residents!$ID:$ID,1,Residents!$IE:$IE,0,Residents!$IF:$IF,0,Residents!$IG:$IG,$C78),"")</f>
        <v/>
      </c>
      <c r="O78" t="str">
        <f>IF(O$5,COUNTIFS(Residents!$G:$G,$A78,Residents!$ID:$ID,1,Residents!$IE:$IE,0,Residents!$IF:$IF,0,Residents!$IG:$IG,$C78),"")</f>
        <v/>
      </c>
      <c r="P78" t="str">
        <f>IF(P$5,COUNTIFS(Residents!$G:$G,$A78,Residents!$ID:$ID,1,Residents!$IE:$IE,0,Residents!$IF:$IF,0,Residents!$IG:$IG,$C78),"")</f>
        <v/>
      </c>
      <c r="Q78" t="str">
        <f>IF(Q$5,COUNTIFS(Residents!$G:$G,$A78,Residents!$ID:$ID,1,Residents!$IE:$IE,0,Residents!$IF:$IF,0,Residents!$IG:$IG,$C78),"")</f>
        <v/>
      </c>
      <c r="R78" t="str">
        <f>IF(R$5,COUNTIFS(Residents!$G:$G,$A78,Residents!$ID:$ID,1,Residents!$IE:$IE,0,Residents!$IF:$IF,0,Residents!$IG:$IG,$C78),"")</f>
        <v/>
      </c>
    </row>
    <row r="79" spans="1:18" ht="15">
      <c r="A79" t="s">
        <v>41</v>
      </c>
      <c r="B79" t="str">
        <f>"Number of individuals with Neither dx with "&amp;C79&amp;" PTM orders"</f>
        <v>Number of individuals with Neither dx with 1 PTM orders</v>
      </c>
      <c r="C79">
        <f t="shared" si="21"/>
        <v>1</v>
      </c>
      <c r="E79" t="s">
        <v>465</v>
      </c>
      <c r="F79" t="str">
        <f>IF(F$5,COUNTIFS(Residents!$G:$G,$A79,Residents!$ID:$ID,1,Residents!$IE:$IE,0,Residents!$IF:$IF,0,Residents!$IG:$IG,$C79),"")</f>
        <v/>
      </c>
      <c r="G79" t="str">
        <f>IF(G$5,COUNTIFS(Residents!$G:$G,$A79,Residents!$ID:$ID,1,Residents!$IE:$IE,0,Residents!$IF:$IF,0,Residents!$IG:$IG,$C79),"")</f>
        <v/>
      </c>
      <c r="H79" t="str">
        <f>IF(H$5,COUNTIFS(Residents!$G:$G,$A79,Residents!$ID:$ID,1,Residents!$IE:$IE,0,Residents!$IF:$IF,0,Residents!$IG:$IG,$C79),"")</f>
        <v/>
      </c>
      <c r="I79" t="str">
        <f>IF(I$5,COUNTIFS(Residents!$G:$G,$A79,Residents!$ID:$ID,1,Residents!$IE:$IE,0,Residents!$IF:$IF,0,Residents!$IG:$IG,$C79),"")</f>
        <v/>
      </c>
      <c r="J79" t="str">
        <f>IF(J$5,COUNTIFS(Residents!$G:$G,$A79,Residents!$ID:$ID,1,Residents!$IE:$IE,0,Residents!$IF:$IF,0,Residents!$IG:$IG,$C79),"")</f>
        <v/>
      </c>
      <c r="K79" t="str">
        <f>IF(K$5,COUNTIFS(Residents!$G:$G,$A79,Residents!$ID:$ID,1,Residents!$IE:$IE,0,Residents!$IF:$IF,0,Residents!$IG:$IG,$C79),"")</f>
        <v/>
      </c>
      <c r="L79" t="str">
        <f>IF(L$5,COUNTIFS(Residents!$G:$G,$A79,Residents!$ID:$ID,1,Residents!$IE:$IE,0,Residents!$IF:$IF,0,Residents!$IG:$IG,$C79),"")</f>
        <v/>
      </c>
      <c r="M79" t="str">
        <f>IF(M$5,COUNTIFS(Residents!$G:$G,$A79,Residents!$ID:$ID,1,Residents!$IE:$IE,0,Residents!$IF:$IF,0,Residents!$IG:$IG,$C79),"")</f>
        <v/>
      </c>
      <c r="N79" t="str">
        <f>IF(N$5,COUNTIFS(Residents!$G:$G,$A79,Residents!$ID:$ID,1,Residents!$IE:$IE,0,Residents!$IF:$IF,0,Residents!$IG:$IG,$C79),"")</f>
        <v/>
      </c>
      <c r="O79" t="str">
        <f>IF(O$5,COUNTIFS(Residents!$G:$G,$A79,Residents!$ID:$ID,1,Residents!$IE:$IE,0,Residents!$IF:$IF,0,Residents!$IG:$IG,$C79),"")</f>
        <v/>
      </c>
      <c r="P79" t="str">
        <f>IF(P$5,COUNTIFS(Residents!$G:$G,$A79,Residents!$ID:$ID,1,Residents!$IE:$IE,0,Residents!$IF:$IF,0,Residents!$IG:$IG,$C79),"")</f>
        <v/>
      </c>
      <c r="Q79" t="str">
        <f>IF(Q$5,COUNTIFS(Residents!$G:$G,$A79,Residents!$ID:$ID,1,Residents!$IE:$IE,0,Residents!$IF:$IF,0,Residents!$IG:$IG,$C79),"")</f>
        <v/>
      </c>
      <c r="R79" t="str">
        <f>IF(R$5,COUNTIFS(Residents!$G:$G,$A79,Residents!$ID:$ID,1,Residents!$IE:$IE,0,Residents!$IF:$IF,0,Residents!$IG:$IG,$C79),"")</f>
        <v/>
      </c>
    </row>
    <row r="80" spans="1:18" ht="15">
      <c r="A80" t="s">
        <v>41</v>
      </c>
      <c r="B80" t="str">
        <f>"Number of individuals with Neither dx with "&amp;C80&amp;" PTM orders"</f>
        <v>Number of individuals with Neither dx with 2 PTM orders</v>
      </c>
      <c r="C80">
        <f t="shared" si="21"/>
        <v>2</v>
      </c>
      <c r="E80" t="s">
        <v>465</v>
      </c>
      <c r="F80" t="str">
        <f>IF(F$5,COUNTIFS(Residents!$G:$G,$A80,Residents!$ID:$ID,1,Residents!$IE:$IE,0,Residents!$IF:$IF,0,Residents!$IG:$IG,$C80),"")</f>
        <v/>
      </c>
      <c r="G80" t="str">
        <f>IF(G$5,COUNTIFS(Residents!$G:$G,$A80,Residents!$ID:$ID,1,Residents!$IE:$IE,0,Residents!$IF:$IF,0,Residents!$IG:$IG,$C80),"")</f>
        <v/>
      </c>
      <c r="H80" t="str">
        <f>IF(H$5,COUNTIFS(Residents!$G:$G,$A80,Residents!$ID:$ID,1,Residents!$IE:$IE,0,Residents!$IF:$IF,0,Residents!$IG:$IG,$C80),"")</f>
        <v/>
      </c>
      <c r="I80" t="str">
        <f>IF(I$5,COUNTIFS(Residents!$G:$G,$A80,Residents!$ID:$ID,1,Residents!$IE:$IE,0,Residents!$IF:$IF,0,Residents!$IG:$IG,$C80),"")</f>
        <v/>
      </c>
      <c r="J80" t="str">
        <f>IF(J$5,COUNTIFS(Residents!$G:$G,$A80,Residents!$ID:$ID,1,Residents!$IE:$IE,0,Residents!$IF:$IF,0,Residents!$IG:$IG,$C80),"")</f>
        <v/>
      </c>
      <c r="K80" t="str">
        <f>IF(K$5,COUNTIFS(Residents!$G:$G,$A80,Residents!$ID:$ID,1,Residents!$IE:$IE,0,Residents!$IF:$IF,0,Residents!$IG:$IG,$C80),"")</f>
        <v/>
      </c>
      <c r="L80" t="str">
        <f>IF(L$5,COUNTIFS(Residents!$G:$G,$A80,Residents!$ID:$ID,1,Residents!$IE:$IE,0,Residents!$IF:$IF,0,Residents!$IG:$IG,$C80),"")</f>
        <v/>
      </c>
      <c r="M80" t="str">
        <f>IF(M$5,COUNTIFS(Residents!$G:$G,$A80,Residents!$ID:$ID,1,Residents!$IE:$IE,0,Residents!$IF:$IF,0,Residents!$IG:$IG,$C80),"")</f>
        <v/>
      </c>
      <c r="N80" t="str">
        <f>IF(N$5,COUNTIFS(Residents!$G:$G,$A80,Residents!$ID:$ID,1,Residents!$IE:$IE,0,Residents!$IF:$IF,0,Residents!$IG:$IG,$C80),"")</f>
        <v/>
      </c>
      <c r="O80" t="str">
        <f>IF(O$5,COUNTIFS(Residents!$G:$G,$A80,Residents!$ID:$ID,1,Residents!$IE:$IE,0,Residents!$IF:$IF,0,Residents!$IG:$IG,$C80),"")</f>
        <v/>
      </c>
      <c r="P80" t="str">
        <f>IF(P$5,COUNTIFS(Residents!$G:$G,$A80,Residents!$ID:$ID,1,Residents!$IE:$IE,0,Residents!$IF:$IF,0,Residents!$IG:$IG,$C80),"")</f>
        <v/>
      </c>
      <c r="Q80" t="str">
        <f>IF(Q$5,COUNTIFS(Residents!$G:$G,$A80,Residents!$ID:$ID,1,Residents!$IE:$IE,0,Residents!$IF:$IF,0,Residents!$IG:$IG,$C80),"")</f>
        <v/>
      </c>
      <c r="R80" t="str">
        <f>IF(R$5,COUNTIFS(Residents!$G:$G,$A80,Residents!$ID:$ID,1,Residents!$IE:$IE,0,Residents!$IF:$IF,0,Residents!$IG:$IG,$C80),"")</f>
        <v/>
      </c>
    </row>
    <row r="81" spans="1:18" ht="15">
      <c r="A81" t="s">
        <v>41</v>
      </c>
      <c r="B81" t="str">
        <f>"Number of individuals with Neither dx with "&amp;C81&amp;" PTM orders"</f>
        <v>Number of individuals with Neither dx with &gt;=3 PTM orders</v>
      </c>
      <c r="C81" t="str">
        <f t="shared" si="21"/>
        <v>&gt;=3</v>
      </c>
      <c r="E81" t="s">
        <v>465</v>
      </c>
      <c r="F81" t="str">
        <f>IF(F$5,COUNTIFS(Residents!$G:$G,$A81,Residents!$ID:$ID,1,Residents!$IE:$IE,0,Residents!$IF:$IF,0,Residents!$IG:$IG,$C81),"")</f>
        <v/>
      </c>
      <c r="G81" t="str">
        <f>IF(G$5,COUNTIFS(Residents!$G:$G,$A81,Residents!$ID:$ID,1,Residents!$IE:$IE,0,Residents!$IF:$IF,0,Residents!$IG:$IG,$C81),"")</f>
        <v/>
      </c>
      <c r="H81" t="str">
        <f>IF(H$5,COUNTIFS(Residents!$G:$G,$A81,Residents!$ID:$ID,1,Residents!$IE:$IE,0,Residents!$IF:$IF,0,Residents!$IG:$IG,$C81),"")</f>
        <v/>
      </c>
      <c r="I81" t="str">
        <f>IF(I$5,COUNTIFS(Residents!$G:$G,$A81,Residents!$ID:$ID,1,Residents!$IE:$IE,0,Residents!$IF:$IF,0,Residents!$IG:$IG,$C81),"")</f>
        <v/>
      </c>
      <c r="J81" t="str">
        <f>IF(J$5,COUNTIFS(Residents!$G:$G,$A81,Residents!$ID:$ID,1,Residents!$IE:$IE,0,Residents!$IF:$IF,0,Residents!$IG:$IG,$C81),"")</f>
        <v/>
      </c>
      <c r="K81" t="str">
        <f>IF(K$5,COUNTIFS(Residents!$G:$G,$A81,Residents!$ID:$ID,1,Residents!$IE:$IE,0,Residents!$IF:$IF,0,Residents!$IG:$IG,$C81),"")</f>
        <v/>
      </c>
      <c r="L81" t="str">
        <f>IF(L$5,COUNTIFS(Residents!$G:$G,$A81,Residents!$ID:$ID,1,Residents!$IE:$IE,0,Residents!$IF:$IF,0,Residents!$IG:$IG,$C81),"")</f>
        <v/>
      </c>
      <c r="M81" t="str">
        <f>IF(M$5,COUNTIFS(Residents!$G:$G,$A81,Residents!$ID:$ID,1,Residents!$IE:$IE,0,Residents!$IF:$IF,0,Residents!$IG:$IG,$C81),"")</f>
        <v/>
      </c>
      <c r="N81" t="str">
        <f>IF(N$5,COUNTIFS(Residents!$G:$G,$A81,Residents!$ID:$ID,1,Residents!$IE:$IE,0,Residents!$IF:$IF,0,Residents!$IG:$IG,$C81),"")</f>
        <v/>
      </c>
      <c r="O81" t="str">
        <f>IF(O$5,COUNTIFS(Residents!$G:$G,$A81,Residents!$ID:$ID,1,Residents!$IE:$IE,0,Residents!$IF:$IF,0,Residents!$IG:$IG,$C81),"")</f>
        <v/>
      </c>
      <c r="P81" t="str">
        <f>IF(P$5,COUNTIFS(Residents!$G:$G,$A81,Residents!$ID:$ID,1,Residents!$IE:$IE,0,Residents!$IF:$IF,0,Residents!$IG:$IG,$C81),"")</f>
        <v/>
      </c>
      <c r="Q81" t="str">
        <f>IF(Q$5,COUNTIFS(Residents!$G:$G,$A81,Residents!$ID:$ID,1,Residents!$IE:$IE,0,Residents!$IF:$IF,0,Residents!$IG:$IG,$C81),"")</f>
        <v/>
      </c>
      <c r="R81" t="str">
        <f>IF(R$5,COUNTIFS(Residents!$G:$G,$A81,Residents!$ID:$ID,1,Residents!$IE:$IE,0,Residents!$IF:$IF,0,Residents!$IG:$IG,$C81),"")</f>
        <v/>
      </c>
    </row>
    <row r="82" spans="1:18" ht="15">
      <c r="A82" t="s">
        <v>41</v>
      </c>
      <c r="B82" t="str">
        <f>"Number of medications prescribed to individuals living with dementia for "&amp;C82</f>
        <v>Number of medications prescribed to individuals living with dementia for ExpWalking</v>
      </c>
      <c r="C82" t="s">
        <v>244</v>
      </c>
      <c r="D82" t="str">
        <f>IF($S$3,SUBSTITUTE(ADDRESS(1,MATCH($C82,Medications!$1:$1,0),4),"1",""),"")</f>
        <v/>
      </c>
      <c r="E82" t="s">
        <v>466</v>
      </c>
      <c r="F82" t="str">
        <f ca="1">IF(F$5,COUNTIFS(Medications!$AN:$AN,ReportAndOutcomeHistory!$A82,Medications!$AP:$AP,1,Medications!$AS:$AS,1,INDIRECT("Medications!$"&amp;$D82&amp;":$"&amp;$D82),1)+ROW()/100000,"")</f>
        <v/>
      </c>
      <c r="G82" t="str">
        <f ca="1">IF(G$5,COUNTIFS(Medications!$AN:$AN,ReportAndOutcomeHistory!$A82,Medications!$AP:$AP,1,Medications!$AS:$AS,1,INDIRECT("Medications!$"&amp;$D82&amp;":$"&amp;$D82),1)+ROW()/100000,"")</f>
        <v/>
      </c>
      <c r="H82" t="str">
        <f ca="1">IF(H$5,COUNTIFS(Medications!$AN:$AN,ReportAndOutcomeHistory!$A82,Medications!$AP:$AP,1,Medications!$AS:$AS,1,INDIRECT("Medications!$"&amp;$D82&amp;":$"&amp;$D82),1)+ROW()/100000,"")</f>
        <v/>
      </c>
      <c r="I82" t="str">
        <f ca="1">IF(I$5,COUNTIFS(Medications!$AN:$AN,ReportAndOutcomeHistory!$A82,Medications!$AP:$AP,1,Medications!$AS:$AS,1,INDIRECT("Medications!$"&amp;$D82&amp;":$"&amp;$D82),1)+ROW()/100000,"")</f>
        <v/>
      </c>
      <c r="J82" t="str">
        <f ca="1">IF(J$5,COUNTIFS(Medications!$AN:$AN,ReportAndOutcomeHistory!$A82,Medications!$AP:$AP,1,Medications!$AS:$AS,1,INDIRECT("Medications!$"&amp;$D82&amp;":$"&amp;$D82),1)+ROW()/100000,"")</f>
        <v/>
      </c>
      <c r="K82" t="str">
        <f ca="1">IF(K$5,COUNTIFS(Medications!$AN:$AN,ReportAndOutcomeHistory!$A82,Medications!$AP:$AP,1,Medications!$AS:$AS,1,INDIRECT("Medications!$"&amp;$D82&amp;":$"&amp;$D82),1)+ROW()/100000,"")</f>
        <v/>
      </c>
      <c r="L82" t="str">
        <f ca="1">IF(L$5,COUNTIFS(Medications!$AN:$AN,ReportAndOutcomeHistory!$A82,Medications!$AP:$AP,1,Medications!$AS:$AS,1,INDIRECT("Medications!$"&amp;$D82&amp;":$"&amp;$D82),1)+ROW()/100000,"")</f>
        <v/>
      </c>
      <c r="M82" t="str">
        <f ca="1">IF(M$5,COUNTIFS(Medications!$AN:$AN,ReportAndOutcomeHistory!$A82,Medications!$AP:$AP,1,Medications!$AS:$AS,1,INDIRECT("Medications!$"&amp;$D82&amp;":$"&amp;$D82),1)+ROW()/100000,"")</f>
        <v/>
      </c>
      <c r="N82" t="str">
        <f ca="1">IF(N$5,COUNTIFS(Medications!$AN:$AN,ReportAndOutcomeHistory!$A82,Medications!$AP:$AP,1,Medications!$AS:$AS,1,INDIRECT("Medications!$"&amp;$D82&amp;":$"&amp;$D82),1)+ROW()/100000,"")</f>
        <v/>
      </c>
      <c r="O82" t="str">
        <f ca="1">IF(O$5,COUNTIFS(Medications!$AN:$AN,ReportAndOutcomeHistory!$A82,Medications!$AP:$AP,1,Medications!$AS:$AS,1,INDIRECT("Medications!$"&amp;$D82&amp;":$"&amp;$D82),1)+ROW()/100000,"")</f>
        <v/>
      </c>
      <c r="P82" t="str">
        <f ca="1">IF(P$5,COUNTIFS(Medications!$AN:$AN,ReportAndOutcomeHistory!$A82,Medications!$AP:$AP,1,Medications!$AS:$AS,1,INDIRECT("Medications!$"&amp;$D82&amp;":$"&amp;$D82),1)+ROW()/100000,"")</f>
        <v/>
      </c>
      <c r="Q82" t="str">
        <f ca="1">IF(Q$5,COUNTIFS(Medications!$AN:$AN,ReportAndOutcomeHistory!$A82,Medications!$AP:$AP,1,Medications!$AS:$AS,1,INDIRECT("Medications!$"&amp;$D82&amp;":$"&amp;$D82),1)+ROW()/100000,"")</f>
        <v/>
      </c>
      <c r="R82" t="str">
        <f ca="1">IF(R$5,COUNTIFS(Medications!$AN:$AN,ReportAndOutcomeHistory!$A82,Medications!$AP:$AP,1,Medications!$AS:$AS,1,INDIRECT("Medications!$"&amp;$D82&amp;":$"&amp;$D82),1)+ROW()/100000,"")</f>
        <v/>
      </c>
    </row>
    <row r="83" spans="1:18" ht="15">
      <c r="A83" t="s">
        <v>41</v>
      </c>
      <c r="B83" t="str">
        <f>"Number of medications prescribed to individuals living with dementia for "&amp;C83</f>
        <v>Number of medications prescribed to individuals living with dementia for ExpWandering</v>
      </c>
      <c r="C83" t="s">
        <v>245</v>
      </c>
      <c r="D83" t="str">
        <f>IF($S$3,SUBSTITUTE(ADDRESS(1,MATCH($C83,Medications!$1:$1,0),4),"1",""),"")</f>
        <v/>
      </c>
      <c r="E83" t="s">
        <v>466</v>
      </c>
      <c r="F83" t="str">
        <f ca="1">IF(F$5,COUNTIFS(Medications!$AN:$AN,ReportAndOutcomeHistory!$A83,Medications!$AP:$AP,1,Medications!$AS:$AS,1,INDIRECT("Medications!$"&amp;$D83&amp;":$"&amp;$D83),1)+ROW()/100000,"")</f>
        <v/>
      </c>
      <c r="G83" t="str">
        <f ca="1">IF(G$5,COUNTIFS(Medications!$AN:$AN,ReportAndOutcomeHistory!$A83,Medications!$AP:$AP,1,Medications!$AS:$AS,1,INDIRECT("Medications!$"&amp;$D83&amp;":$"&amp;$D83),1)+ROW()/100000,"")</f>
        <v/>
      </c>
      <c r="H83" t="str">
        <f ca="1">IF(H$5,COUNTIFS(Medications!$AN:$AN,ReportAndOutcomeHistory!$A83,Medications!$AP:$AP,1,Medications!$AS:$AS,1,INDIRECT("Medications!$"&amp;$D83&amp;":$"&amp;$D83),1)+ROW()/100000,"")</f>
        <v/>
      </c>
      <c r="I83" t="str">
        <f ca="1">IF(I$5,COUNTIFS(Medications!$AN:$AN,ReportAndOutcomeHistory!$A83,Medications!$AP:$AP,1,Medications!$AS:$AS,1,INDIRECT("Medications!$"&amp;$D83&amp;":$"&amp;$D83),1)+ROW()/100000,"")</f>
        <v/>
      </c>
      <c r="J83" t="str">
        <f ca="1">IF(J$5,COUNTIFS(Medications!$AN:$AN,ReportAndOutcomeHistory!$A83,Medications!$AP:$AP,1,Medications!$AS:$AS,1,INDIRECT("Medications!$"&amp;$D83&amp;":$"&amp;$D83),1)+ROW()/100000,"")</f>
        <v/>
      </c>
      <c r="K83" t="str">
        <f ca="1">IF(K$5,COUNTIFS(Medications!$AN:$AN,ReportAndOutcomeHistory!$A83,Medications!$AP:$AP,1,Medications!$AS:$AS,1,INDIRECT("Medications!$"&amp;$D83&amp;":$"&amp;$D83),1)+ROW()/100000,"")</f>
        <v/>
      </c>
      <c r="L83" t="str">
        <f ca="1">IF(L$5,COUNTIFS(Medications!$AN:$AN,ReportAndOutcomeHistory!$A83,Medications!$AP:$AP,1,Medications!$AS:$AS,1,INDIRECT("Medications!$"&amp;$D83&amp;":$"&amp;$D83),1)+ROW()/100000,"")</f>
        <v/>
      </c>
      <c r="M83" t="str">
        <f ca="1">IF(M$5,COUNTIFS(Medications!$AN:$AN,ReportAndOutcomeHistory!$A83,Medications!$AP:$AP,1,Medications!$AS:$AS,1,INDIRECT("Medications!$"&amp;$D83&amp;":$"&amp;$D83),1)+ROW()/100000,"")</f>
        <v/>
      </c>
      <c r="N83" t="str">
        <f ca="1">IF(N$5,COUNTIFS(Medications!$AN:$AN,ReportAndOutcomeHistory!$A83,Medications!$AP:$AP,1,Medications!$AS:$AS,1,INDIRECT("Medications!$"&amp;$D83&amp;":$"&amp;$D83),1)+ROW()/100000,"")</f>
        <v/>
      </c>
      <c r="O83" t="str">
        <f ca="1">IF(O$5,COUNTIFS(Medications!$AN:$AN,ReportAndOutcomeHistory!$A83,Medications!$AP:$AP,1,Medications!$AS:$AS,1,INDIRECT("Medications!$"&amp;$D83&amp;":$"&amp;$D83),1)+ROW()/100000,"")</f>
        <v/>
      </c>
      <c r="P83" t="str">
        <f ca="1">IF(P$5,COUNTIFS(Medications!$AN:$AN,ReportAndOutcomeHistory!$A83,Medications!$AP:$AP,1,Medications!$AS:$AS,1,INDIRECT("Medications!$"&amp;$D83&amp;":$"&amp;$D83),1)+ROW()/100000,"")</f>
        <v/>
      </c>
      <c r="Q83" t="str">
        <f ca="1">IF(Q$5,COUNTIFS(Medications!$AN:$AN,ReportAndOutcomeHistory!$A83,Medications!$AP:$AP,1,Medications!$AS:$AS,1,INDIRECT("Medications!$"&amp;$D83&amp;":$"&amp;$D83),1)+ROW()/100000,"")</f>
        <v/>
      </c>
      <c r="R83" t="str">
        <f ca="1">IF(R$5,COUNTIFS(Medications!$AN:$AN,ReportAndOutcomeHistory!$A83,Medications!$AP:$AP,1,Medications!$AS:$AS,1,INDIRECT("Medications!$"&amp;$D83&amp;":$"&amp;$D83),1)+ROW()/100000,"")</f>
        <v/>
      </c>
    </row>
    <row r="84" spans="1:18" ht="15">
      <c r="A84" t="s">
        <v>41</v>
      </c>
      <c r="B84" t="str">
        <f aca="true" t="shared" si="22" ref="B84:B103">"Number of medications prescribed to individuals living with dementia for "&amp;C84</f>
        <v>Number of medications prescribed to individuals living with dementia for ExpPacing</v>
      </c>
      <c r="C84" t="s">
        <v>246</v>
      </c>
      <c r="D84" t="str">
        <f>IF($S$3,SUBSTITUTE(ADDRESS(1,MATCH($C84,Medications!$1:$1,0),4),"1",""),"")</f>
        <v/>
      </c>
      <c r="E84" t="s">
        <v>466</v>
      </c>
      <c r="F84" t="str">
        <f ca="1">IF(F$5,COUNTIFS(Medications!$AN:$AN,ReportAndOutcomeHistory!$A84,Medications!$AP:$AP,1,Medications!$AS:$AS,1,INDIRECT("Medications!$"&amp;$D84&amp;":$"&amp;$D84),1)+ROW()/100000,"")</f>
        <v/>
      </c>
      <c r="G84" t="str">
        <f ca="1">IF(G$5,COUNTIFS(Medications!$AN:$AN,ReportAndOutcomeHistory!$A84,Medications!$AP:$AP,1,Medications!$AS:$AS,1,INDIRECT("Medications!$"&amp;$D84&amp;":$"&amp;$D84),1)+ROW()/100000,"")</f>
        <v/>
      </c>
      <c r="H84" t="str">
        <f ca="1">IF(H$5,COUNTIFS(Medications!$AN:$AN,ReportAndOutcomeHistory!$A84,Medications!$AP:$AP,1,Medications!$AS:$AS,1,INDIRECT("Medications!$"&amp;$D84&amp;":$"&amp;$D84),1)+ROW()/100000,"")</f>
        <v/>
      </c>
      <c r="I84" t="str">
        <f ca="1">IF(I$5,COUNTIFS(Medications!$AN:$AN,ReportAndOutcomeHistory!$A84,Medications!$AP:$AP,1,Medications!$AS:$AS,1,INDIRECT("Medications!$"&amp;$D84&amp;":$"&amp;$D84),1)+ROW()/100000,"")</f>
        <v/>
      </c>
      <c r="J84" t="str">
        <f ca="1">IF(J$5,COUNTIFS(Medications!$AN:$AN,ReportAndOutcomeHistory!$A84,Medications!$AP:$AP,1,Medications!$AS:$AS,1,INDIRECT("Medications!$"&amp;$D84&amp;":$"&amp;$D84),1)+ROW()/100000,"")</f>
        <v/>
      </c>
      <c r="K84" t="str">
        <f ca="1">IF(K$5,COUNTIFS(Medications!$AN:$AN,ReportAndOutcomeHistory!$A84,Medications!$AP:$AP,1,Medications!$AS:$AS,1,INDIRECT("Medications!$"&amp;$D84&amp;":$"&amp;$D84),1)+ROW()/100000,"")</f>
        <v/>
      </c>
      <c r="L84" t="str">
        <f ca="1">IF(L$5,COUNTIFS(Medications!$AN:$AN,ReportAndOutcomeHistory!$A84,Medications!$AP:$AP,1,Medications!$AS:$AS,1,INDIRECT("Medications!$"&amp;$D84&amp;":$"&amp;$D84),1)+ROW()/100000,"")</f>
        <v/>
      </c>
      <c r="M84" t="str">
        <f ca="1">IF(M$5,COUNTIFS(Medications!$AN:$AN,ReportAndOutcomeHistory!$A84,Medications!$AP:$AP,1,Medications!$AS:$AS,1,INDIRECT("Medications!$"&amp;$D84&amp;":$"&amp;$D84),1)+ROW()/100000,"")</f>
        <v/>
      </c>
      <c r="N84" t="str">
        <f ca="1">IF(N$5,COUNTIFS(Medications!$AN:$AN,ReportAndOutcomeHistory!$A84,Medications!$AP:$AP,1,Medications!$AS:$AS,1,INDIRECT("Medications!$"&amp;$D84&amp;":$"&amp;$D84),1)+ROW()/100000,"")</f>
        <v/>
      </c>
      <c r="O84" t="str">
        <f ca="1">IF(O$5,COUNTIFS(Medications!$AN:$AN,ReportAndOutcomeHistory!$A84,Medications!$AP:$AP,1,Medications!$AS:$AS,1,INDIRECT("Medications!$"&amp;$D84&amp;":$"&amp;$D84),1)+ROW()/100000,"")</f>
        <v/>
      </c>
      <c r="P84" t="str">
        <f ca="1">IF(P$5,COUNTIFS(Medications!$AN:$AN,ReportAndOutcomeHistory!$A84,Medications!$AP:$AP,1,Medications!$AS:$AS,1,INDIRECT("Medications!$"&amp;$D84&amp;":$"&amp;$D84),1)+ROW()/100000,"")</f>
        <v/>
      </c>
      <c r="Q84" t="str">
        <f ca="1">IF(Q$5,COUNTIFS(Medications!$AN:$AN,ReportAndOutcomeHistory!$A84,Medications!$AP:$AP,1,Medications!$AS:$AS,1,INDIRECT("Medications!$"&amp;$D84&amp;":$"&amp;$D84),1)+ROW()/100000,"")</f>
        <v/>
      </c>
      <c r="R84" t="str">
        <f ca="1">IF(R$5,COUNTIFS(Medications!$AN:$AN,ReportAndOutcomeHistory!$A84,Medications!$AP:$AP,1,Medications!$AS:$AS,1,INDIRECT("Medications!$"&amp;$D84&amp;":$"&amp;$D84),1)+ROW()/100000,"")</f>
        <v/>
      </c>
    </row>
    <row r="85" spans="1:18" ht="15">
      <c r="A85" t="s">
        <v>41</v>
      </c>
      <c r="B85" t="str">
        <f t="shared" si="22"/>
        <v>Number of medications prescribed to individuals living with dementia for ExpSearching</v>
      </c>
      <c r="C85" t="s">
        <v>247</v>
      </c>
      <c r="D85" t="str">
        <f>IF($S$3,SUBSTITUTE(ADDRESS(1,MATCH($C85,Medications!$1:$1,0),4),"1",""),"")</f>
        <v/>
      </c>
      <c r="E85" t="s">
        <v>466</v>
      </c>
      <c r="F85" t="str">
        <f ca="1">IF(F$5,COUNTIFS(Medications!$AN:$AN,ReportAndOutcomeHistory!$A85,Medications!$AP:$AP,1,Medications!$AS:$AS,1,INDIRECT("Medications!$"&amp;$D85&amp;":$"&amp;$D85),1)+ROW()/100000,"")</f>
        <v/>
      </c>
      <c r="G85" t="str">
        <f ca="1">IF(G$5,COUNTIFS(Medications!$AN:$AN,ReportAndOutcomeHistory!$A85,Medications!$AP:$AP,1,Medications!$AS:$AS,1,INDIRECT("Medications!$"&amp;$D85&amp;":$"&amp;$D85),1)+ROW()/100000,"")</f>
        <v/>
      </c>
      <c r="H85" t="str">
        <f ca="1">IF(H$5,COUNTIFS(Medications!$AN:$AN,ReportAndOutcomeHistory!$A85,Medications!$AP:$AP,1,Medications!$AS:$AS,1,INDIRECT("Medications!$"&amp;$D85&amp;":$"&amp;$D85),1)+ROW()/100000,"")</f>
        <v/>
      </c>
      <c r="I85" t="str">
        <f ca="1">IF(I$5,COUNTIFS(Medications!$AN:$AN,ReportAndOutcomeHistory!$A85,Medications!$AP:$AP,1,Medications!$AS:$AS,1,INDIRECT("Medications!$"&amp;$D85&amp;":$"&amp;$D85),1)+ROW()/100000,"")</f>
        <v/>
      </c>
      <c r="J85" t="str">
        <f ca="1">IF(J$5,COUNTIFS(Medications!$AN:$AN,ReportAndOutcomeHistory!$A85,Medications!$AP:$AP,1,Medications!$AS:$AS,1,INDIRECT("Medications!$"&amp;$D85&amp;":$"&amp;$D85),1)+ROW()/100000,"")</f>
        <v/>
      </c>
      <c r="K85" t="str">
        <f ca="1">IF(K$5,COUNTIFS(Medications!$AN:$AN,ReportAndOutcomeHistory!$A85,Medications!$AP:$AP,1,Medications!$AS:$AS,1,INDIRECT("Medications!$"&amp;$D85&amp;":$"&amp;$D85),1)+ROW()/100000,"")</f>
        <v/>
      </c>
      <c r="L85" t="str">
        <f ca="1">IF(L$5,COUNTIFS(Medications!$AN:$AN,ReportAndOutcomeHistory!$A85,Medications!$AP:$AP,1,Medications!$AS:$AS,1,INDIRECT("Medications!$"&amp;$D85&amp;":$"&amp;$D85),1)+ROW()/100000,"")</f>
        <v/>
      </c>
      <c r="M85" t="str">
        <f ca="1">IF(M$5,COUNTIFS(Medications!$AN:$AN,ReportAndOutcomeHistory!$A85,Medications!$AP:$AP,1,Medications!$AS:$AS,1,INDIRECT("Medications!$"&amp;$D85&amp;":$"&amp;$D85),1)+ROW()/100000,"")</f>
        <v/>
      </c>
      <c r="N85" t="str">
        <f ca="1">IF(N$5,COUNTIFS(Medications!$AN:$AN,ReportAndOutcomeHistory!$A85,Medications!$AP:$AP,1,Medications!$AS:$AS,1,INDIRECT("Medications!$"&amp;$D85&amp;":$"&amp;$D85),1)+ROW()/100000,"")</f>
        <v/>
      </c>
      <c r="O85" t="str">
        <f ca="1">IF(O$5,COUNTIFS(Medications!$AN:$AN,ReportAndOutcomeHistory!$A85,Medications!$AP:$AP,1,Medications!$AS:$AS,1,INDIRECT("Medications!$"&amp;$D85&amp;":$"&amp;$D85),1)+ROW()/100000,"")</f>
        <v/>
      </c>
      <c r="P85" t="str">
        <f ca="1">IF(P$5,COUNTIFS(Medications!$AN:$AN,ReportAndOutcomeHistory!$A85,Medications!$AP:$AP,1,Medications!$AS:$AS,1,INDIRECT("Medications!$"&amp;$D85&amp;":$"&amp;$D85),1)+ROW()/100000,"")</f>
        <v/>
      </c>
      <c r="Q85" t="str">
        <f ca="1">IF(Q$5,COUNTIFS(Medications!$AN:$AN,ReportAndOutcomeHistory!$A85,Medications!$AP:$AP,1,Medications!$AS:$AS,1,INDIRECT("Medications!$"&amp;$D85&amp;":$"&amp;$D85),1)+ROW()/100000,"")</f>
        <v/>
      </c>
      <c r="R85" t="str">
        <f ca="1">IF(R$5,COUNTIFS(Medications!$AN:$AN,ReportAndOutcomeHistory!$A85,Medications!$AP:$AP,1,Medications!$AS:$AS,1,INDIRECT("Medications!$"&amp;$D85&amp;":$"&amp;$D85),1)+ROW()/100000,"")</f>
        <v/>
      </c>
    </row>
    <row r="86" spans="1:18" ht="15">
      <c r="A86" t="s">
        <v>41</v>
      </c>
      <c r="B86" t="str">
        <f t="shared" si="22"/>
        <v>Number of medications prescribed to individuals living with dementia for ExpRepetitiveVocalizations</v>
      </c>
      <c r="C86" t="s">
        <v>248</v>
      </c>
      <c r="D86" t="str">
        <f>IF($S$3,SUBSTITUTE(ADDRESS(1,MATCH($C86,Medications!$1:$1,0),4),"1",""),"")</f>
        <v/>
      </c>
      <c r="E86" t="s">
        <v>466</v>
      </c>
      <c r="F86" t="str">
        <f ca="1">IF(F$5,COUNTIFS(Medications!$AN:$AN,ReportAndOutcomeHistory!$A86,Medications!$AP:$AP,1,Medications!$AS:$AS,1,INDIRECT("Medications!$"&amp;$D86&amp;":$"&amp;$D86),1)+ROW()/100000,"")</f>
        <v/>
      </c>
      <c r="G86" t="str">
        <f ca="1">IF(G$5,COUNTIFS(Medications!$AN:$AN,ReportAndOutcomeHistory!$A86,Medications!$AP:$AP,1,Medications!$AS:$AS,1,INDIRECT("Medications!$"&amp;$D86&amp;":$"&amp;$D86),1)+ROW()/100000,"")</f>
        <v/>
      </c>
      <c r="H86" t="str">
        <f ca="1">IF(H$5,COUNTIFS(Medications!$AN:$AN,ReportAndOutcomeHistory!$A86,Medications!$AP:$AP,1,Medications!$AS:$AS,1,INDIRECT("Medications!$"&amp;$D86&amp;":$"&amp;$D86),1)+ROW()/100000,"")</f>
        <v/>
      </c>
      <c r="I86" t="str">
        <f ca="1">IF(I$5,COUNTIFS(Medications!$AN:$AN,ReportAndOutcomeHistory!$A86,Medications!$AP:$AP,1,Medications!$AS:$AS,1,INDIRECT("Medications!$"&amp;$D86&amp;":$"&amp;$D86),1)+ROW()/100000,"")</f>
        <v/>
      </c>
      <c r="J86" t="str">
        <f ca="1">IF(J$5,COUNTIFS(Medications!$AN:$AN,ReportAndOutcomeHistory!$A86,Medications!$AP:$AP,1,Medications!$AS:$AS,1,INDIRECT("Medications!$"&amp;$D86&amp;":$"&amp;$D86),1)+ROW()/100000,"")</f>
        <v/>
      </c>
      <c r="K86" t="str">
        <f ca="1">IF(K$5,COUNTIFS(Medications!$AN:$AN,ReportAndOutcomeHistory!$A86,Medications!$AP:$AP,1,Medications!$AS:$AS,1,INDIRECT("Medications!$"&amp;$D86&amp;":$"&amp;$D86),1)+ROW()/100000,"")</f>
        <v/>
      </c>
      <c r="L86" t="str">
        <f ca="1">IF(L$5,COUNTIFS(Medications!$AN:$AN,ReportAndOutcomeHistory!$A86,Medications!$AP:$AP,1,Medications!$AS:$AS,1,INDIRECT("Medications!$"&amp;$D86&amp;":$"&amp;$D86),1)+ROW()/100000,"")</f>
        <v/>
      </c>
      <c r="M86" t="str">
        <f ca="1">IF(M$5,COUNTIFS(Medications!$AN:$AN,ReportAndOutcomeHistory!$A86,Medications!$AP:$AP,1,Medications!$AS:$AS,1,INDIRECT("Medications!$"&amp;$D86&amp;":$"&amp;$D86),1)+ROW()/100000,"")</f>
        <v/>
      </c>
      <c r="N86" t="str">
        <f ca="1">IF(N$5,COUNTIFS(Medications!$AN:$AN,ReportAndOutcomeHistory!$A86,Medications!$AP:$AP,1,Medications!$AS:$AS,1,INDIRECT("Medications!$"&amp;$D86&amp;":$"&amp;$D86),1)+ROW()/100000,"")</f>
        <v/>
      </c>
      <c r="O86" t="str">
        <f ca="1">IF(O$5,COUNTIFS(Medications!$AN:$AN,ReportAndOutcomeHistory!$A86,Medications!$AP:$AP,1,Medications!$AS:$AS,1,INDIRECT("Medications!$"&amp;$D86&amp;":$"&amp;$D86),1)+ROW()/100000,"")</f>
        <v/>
      </c>
      <c r="P86" t="str">
        <f ca="1">IF(P$5,COUNTIFS(Medications!$AN:$AN,ReportAndOutcomeHistory!$A86,Medications!$AP:$AP,1,Medications!$AS:$AS,1,INDIRECT("Medications!$"&amp;$D86&amp;":$"&amp;$D86),1)+ROW()/100000,"")</f>
        <v/>
      </c>
      <c r="Q86" t="str">
        <f ca="1">IF(Q$5,COUNTIFS(Medications!$AN:$AN,ReportAndOutcomeHistory!$A86,Medications!$AP:$AP,1,Medications!$AS:$AS,1,INDIRECT("Medications!$"&amp;$D86&amp;":$"&amp;$D86),1)+ROW()/100000,"")</f>
        <v/>
      </c>
      <c r="R86" t="str">
        <f ca="1">IF(R$5,COUNTIFS(Medications!$AN:$AN,ReportAndOutcomeHistory!$A86,Medications!$AP:$AP,1,Medications!$AS:$AS,1,INDIRECT("Medications!$"&amp;$D86&amp;":$"&amp;$D86),1)+ROW()/100000,"")</f>
        <v/>
      </c>
    </row>
    <row r="87" spans="1:18" ht="15">
      <c r="A87" t="s">
        <v>41</v>
      </c>
      <c r="B87" t="str">
        <f t="shared" si="22"/>
        <v>Number of medications prescribed to individuals living with dementia for ExpRestlessness</v>
      </c>
      <c r="C87" t="s">
        <v>249</v>
      </c>
      <c r="D87" t="str">
        <f>IF($S$3,SUBSTITUTE(ADDRESS(1,MATCH($C87,Medications!$1:$1,0),4),"1",""),"")</f>
        <v/>
      </c>
      <c r="E87" t="s">
        <v>466</v>
      </c>
      <c r="F87" t="str">
        <f ca="1">IF(F$5,COUNTIFS(Medications!$AN:$AN,ReportAndOutcomeHistory!$A87,Medications!$AP:$AP,1,Medications!$AS:$AS,1,INDIRECT("Medications!$"&amp;$D87&amp;":$"&amp;$D87),1)+ROW()/100000,"")</f>
        <v/>
      </c>
      <c r="G87" t="str">
        <f ca="1">IF(G$5,COUNTIFS(Medications!$AN:$AN,ReportAndOutcomeHistory!$A87,Medications!$AP:$AP,1,Medications!$AS:$AS,1,INDIRECT("Medications!$"&amp;$D87&amp;":$"&amp;$D87),1)+ROW()/100000,"")</f>
        <v/>
      </c>
      <c r="H87" t="str">
        <f ca="1">IF(H$5,COUNTIFS(Medications!$AN:$AN,ReportAndOutcomeHistory!$A87,Medications!$AP:$AP,1,Medications!$AS:$AS,1,INDIRECT("Medications!$"&amp;$D87&amp;":$"&amp;$D87),1)+ROW()/100000,"")</f>
        <v/>
      </c>
      <c r="I87" t="str">
        <f ca="1">IF(I$5,COUNTIFS(Medications!$AN:$AN,ReportAndOutcomeHistory!$A87,Medications!$AP:$AP,1,Medications!$AS:$AS,1,INDIRECT("Medications!$"&amp;$D87&amp;":$"&amp;$D87),1)+ROW()/100000,"")</f>
        <v/>
      </c>
      <c r="J87" t="str">
        <f ca="1">IF(J$5,COUNTIFS(Medications!$AN:$AN,ReportAndOutcomeHistory!$A87,Medications!$AP:$AP,1,Medications!$AS:$AS,1,INDIRECT("Medications!$"&amp;$D87&amp;":$"&amp;$D87),1)+ROW()/100000,"")</f>
        <v/>
      </c>
      <c r="K87" t="str">
        <f ca="1">IF(K$5,COUNTIFS(Medications!$AN:$AN,ReportAndOutcomeHistory!$A87,Medications!$AP:$AP,1,Medications!$AS:$AS,1,INDIRECT("Medications!$"&amp;$D87&amp;":$"&amp;$D87),1)+ROW()/100000,"")</f>
        <v/>
      </c>
      <c r="L87" t="str">
        <f ca="1">IF(L$5,COUNTIFS(Medications!$AN:$AN,ReportAndOutcomeHistory!$A87,Medications!$AP:$AP,1,Medications!$AS:$AS,1,INDIRECT("Medications!$"&amp;$D87&amp;":$"&amp;$D87),1)+ROW()/100000,"")</f>
        <v/>
      </c>
      <c r="M87" t="str">
        <f ca="1">IF(M$5,COUNTIFS(Medications!$AN:$AN,ReportAndOutcomeHistory!$A87,Medications!$AP:$AP,1,Medications!$AS:$AS,1,INDIRECT("Medications!$"&amp;$D87&amp;":$"&amp;$D87),1)+ROW()/100000,"")</f>
        <v/>
      </c>
      <c r="N87" t="str">
        <f ca="1">IF(N$5,COUNTIFS(Medications!$AN:$AN,ReportAndOutcomeHistory!$A87,Medications!$AP:$AP,1,Medications!$AS:$AS,1,INDIRECT("Medications!$"&amp;$D87&amp;":$"&amp;$D87),1)+ROW()/100000,"")</f>
        <v/>
      </c>
      <c r="O87" t="str">
        <f ca="1">IF(O$5,COUNTIFS(Medications!$AN:$AN,ReportAndOutcomeHistory!$A87,Medications!$AP:$AP,1,Medications!$AS:$AS,1,INDIRECT("Medications!$"&amp;$D87&amp;":$"&amp;$D87),1)+ROW()/100000,"")</f>
        <v/>
      </c>
      <c r="P87" t="str">
        <f ca="1">IF(P$5,COUNTIFS(Medications!$AN:$AN,ReportAndOutcomeHistory!$A87,Medications!$AP:$AP,1,Medications!$AS:$AS,1,INDIRECT("Medications!$"&amp;$D87&amp;":$"&amp;$D87),1)+ROW()/100000,"")</f>
        <v/>
      </c>
      <c r="Q87" t="str">
        <f ca="1">IF(Q$5,COUNTIFS(Medications!$AN:$AN,ReportAndOutcomeHistory!$A87,Medications!$AP:$AP,1,Medications!$AS:$AS,1,INDIRECT("Medications!$"&amp;$D87&amp;":$"&amp;$D87),1)+ROW()/100000,"")</f>
        <v/>
      </c>
      <c r="R87" t="str">
        <f ca="1">IF(R$5,COUNTIFS(Medications!$AN:$AN,ReportAndOutcomeHistory!$A87,Medications!$AP:$AP,1,Medications!$AS:$AS,1,INDIRECT("Medications!$"&amp;$D87&amp;":$"&amp;$D87),1)+ROW()/100000,"")</f>
        <v/>
      </c>
    </row>
    <row r="88" spans="1:18" ht="15">
      <c r="A88" t="s">
        <v>41</v>
      </c>
      <c r="B88" t="str">
        <f t="shared" si="22"/>
        <v>Number of medications prescribed to individuals living with dementia for ExpDifferentPerceptions</v>
      </c>
      <c r="C88" t="s">
        <v>250</v>
      </c>
      <c r="D88" t="str">
        <f>IF($S$3,SUBSTITUTE(ADDRESS(1,MATCH($C88,Medications!$1:$1,0),4),"1",""),"")</f>
        <v/>
      </c>
      <c r="E88" t="s">
        <v>466</v>
      </c>
      <c r="F88" t="str">
        <f ca="1">IF(F$5,COUNTIFS(Medications!$AN:$AN,ReportAndOutcomeHistory!$A88,Medications!$AP:$AP,1,Medications!$AS:$AS,1,INDIRECT("Medications!$"&amp;$D88&amp;":$"&amp;$D88),1)+ROW()/100000,"")</f>
        <v/>
      </c>
      <c r="G88" t="str">
        <f ca="1">IF(G$5,COUNTIFS(Medications!$AN:$AN,ReportAndOutcomeHistory!$A88,Medications!$AP:$AP,1,Medications!$AS:$AS,1,INDIRECT("Medications!$"&amp;$D88&amp;":$"&amp;$D88),1)+ROW()/100000,"")</f>
        <v/>
      </c>
      <c r="H88" t="str">
        <f ca="1">IF(H$5,COUNTIFS(Medications!$AN:$AN,ReportAndOutcomeHistory!$A88,Medications!$AP:$AP,1,Medications!$AS:$AS,1,INDIRECT("Medications!$"&amp;$D88&amp;":$"&amp;$D88),1)+ROW()/100000,"")</f>
        <v/>
      </c>
      <c r="I88" t="str">
        <f ca="1">IF(I$5,COUNTIFS(Medications!$AN:$AN,ReportAndOutcomeHistory!$A88,Medications!$AP:$AP,1,Medications!$AS:$AS,1,INDIRECT("Medications!$"&amp;$D88&amp;":$"&amp;$D88),1)+ROW()/100000,"")</f>
        <v/>
      </c>
      <c r="J88" t="str">
        <f ca="1">IF(J$5,COUNTIFS(Medications!$AN:$AN,ReportAndOutcomeHistory!$A88,Medications!$AP:$AP,1,Medications!$AS:$AS,1,INDIRECT("Medications!$"&amp;$D88&amp;":$"&amp;$D88),1)+ROW()/100000,"")</f>
        <v/>
      </c>
      <c r="K88" t="str">
        <f ca="1">IF(K$5,COUNTIFS(Medications!$AN:$AN,ReportAndOutcomeHistory!$A88,Medications!$AP:$AP,1,Medications!$AS:$AS,1,INDIRECT("Medications!$"&amp;$D88&amp;":$"&amp;$D88),1)+ROW()/100000,"")</f>
        <v/>
      </c>
      <c r="L88" t="str">
        <f ca="1">IF(L$5,COUNTIFS(Medications!$AN:$AN,ReportAndOutcomeHistory!$A88,Medications!$AP:$AP,1,Medications!$AS:$AS,1,INDIRECT("Medications!$"&amp;$D88&amp;":$"&amp;$D88),1)+ROW()/100000,"")</f>
        <v/>
      </c>
      <c r="M88" t="str">
        <f ca="1">IF(M$5,COUNTIFS(Medications!$AN:$AN,ReportAndOutcomeHistory!$A88,Medications!$AP:$AP,1,Medications!$AS:$AS,1,INDIRECT("Medications!$"&amp;$D88&amp;":$"&amp;$D88),1)+ROW()/100000,"")</f>
        <v/>
      </c>
      <c r="N88" t="str">
        <f ca="1">IF(N$5,COUNTIFS(Medications!$AN:$AN,ReportAndOutcomeHistory!$A88,Medications!$AP:$AP,1,Medications!$AS:$AS,1,INDIRECT("Medications!$"&amp;$D88&amp;":$"&amp;$D88),1)+ROW()/100000,"")</f>
        <v/>
      </c>
      <c r="O88" t="str">
        <f ca="1">IF(O$5,COUNTIFS(Medications!$AN:$AN,ReportAndOutcomeHistory!$A88,Medications!$AP:$AP,1,Medications!$AS:$AS,1,INDIRECT("Medications!$"&amp;$D88&amp;":$"&amp;$D88),1)+ROW()/100000,"")</f>
        <v/>
      </c>
      <c r="P88" t="str">
        <f ca="1">IF(P$5,COUNTIFS(Medications!$AN:$AN,ReportAndOutcomeHistory!$A88,Medications!$AP:$AP,1,Medications!$AS:$AS,1,INDIRECT("Medications!$"&amp;$D88&amp;":$"&amp;$D88),1)+ROW()/100000,"")</f>
        <v/>
      </c>
      <c r="Q88" t="str">
        <f ca="1">IF(Q$5,COUNTIFS(Medications!$AN:$AN,ReportAndOutcomeHistory!$A88,Medications!$AP:$AP,1,Medications!$AS:$AS,1,INDIRECT("Medications!$"&amp;$D88&amp;":$"&amp;$D88),1)+ROW()/100000,"")</f>
        <v/>
      </c>
      <c r="R88" t="str">
        <f ca="1">IF(R$5,COUNTIFS(Medications!$AN:$AN,ReportAndOutcomeHistory!$A88,Medications!$AP:$AP,1,Medications!$AS:$AS,1,INDIRECT("Medications!$"&amp;$D88&amp;":$"&amp;$D88),1)+ROW()/100000,"")</f>
        <v/>
      </c>
    </row>
    <row r="89" spans="1:18" ht="15">
      <c r="A89" t="s">
        <v>41</v>
      </c>
      <c r="B89" t="str">
        <f t="shared" si="22"/>
        <v>Number of medications prescribed to individuals living with dementia for ExpResistingCare</v>
      </c>
      <c r="C89" t="s">
        <v>251</v>
      </c>
      <c r="D89" t="str">
        <f>IF($S$3,SUBSTITUTE(ADDRESS(1,MATCH($C89,Medications!$1:$1,0),4),"1",""),"")</f>
        <v/>
      </c>
      <c r="E89" t="s">
        <v>466</v>
      </c>
      <c r="F89" t="str">
        <f ca="1">IF(F$5,COUNTIFS(Medications!$AN:$AN,ReportAndOutcomeHistory!$A89,Medications!$AP:$AP,1,Medications!$AS:$AS,1,INDIRECT("Medications!$"&amp;$D89&amp;":$"&amp;$D89),1)+ROW()/100000,"")</f>
        <v/>
      </c>
      <c r="G89" t="str">
        <f ca="1">IF(G$5,COUNTIFS(Medications!$AN:$AN,ReportAndOutcomeHistory!$A89,Medications!$AP:$AP,1,Medications!$AS:$AS,1,INDIRECT("Medications!$"&amp;$D89&amp;":$"&amp;$D89),1)+ROW()/100000,"")</f>
        <v/>
      </c>
      <c r="H89" t="str">
        <f ca="1">IF(H$5,COUNTIFS(Medications!$AN:$AN,ReportAndOutcomeHistory!$A89,Medications!$AP:$AP,1,Medications!$AS:$AS,1,INDIRECT("Medications!$"&amp;$D89&amp;":$"&amp;$D89),1)+ROW()/100000,"")</f>
        <v/>
      </c>
      <c r="I89" t="str">
        <f ca="1">IF(I$5,COUNTIFS(Medications!$AN:$AN,ReportAndOutcomeHistory!$A89,Medications!$AP:$AP,1,Medications!$AS:$AS,1,INDIRECT("Medications!$"&amp;$D89&amp;":$"&amp;$D89),1)+ROW()/100000,"")</f>
        <v/>
      </c>
      <c r="J89" t="str">
        <f ca="1">IF(J$5,COUNTIFS(Medications!$AN:$AN,ReportAndOutcomeHistory!$A89,Medications!$AP:$AP,1,Medications!$AS:$AS,1,INDIRECT("Medications!$"&amp;$D89&amp;":$"&amp;$D89),1)+ROW()/100000,"")</f>
        <v/>
      </c>
      <c r="K89" t="str">
        <f ca="1">IF(K$5,COUNTIFS(Medications!$AN:$AN,ReportAndOutcomeHistory!$A89,Medications!$AP:$AP,1,Medications!$AS:$AS,1,INDIRECT("Medications!$"&amp;$D89&amp;":$"&amp;$D89),1)+ROW()/100000,"")</f>
        <v/>
      </c>
      <c r="L89" t="str">
        <f ca="1">IF(L$5,COUNTIFS(Medications!$AN:$AN,ReportAndOutcomeHistory!$A89,Medications!$AP:$AP,1,Medications!$AS:$AS,1,INDIRECT("Medications!$"&amp;$D89&amp;":$"&amp;$D89),1)+ROW()/100000,"")</f>
        <v/>
      </c>
      <c r="M89" t="str">
        <f ca="1">IF(M$5,COUNTIFS(Medications!$AN:$AN,ReportAndOutcomeHistory!$A89,Medications!$AP:$AP,1,Medications!$AS:$AS,1,INDIRECT("Medications!$"&amp;$D89&amp;":$"&amp;$D89),1)+ROW()/100000,"")</f>
        <v/>
      </c>
      <c r="N89" t="str">
        <f ca="1">IF(N$5,COUNTIFS(Medications!$AN:$AN,ReportAndOutcomeHistory!$A89,Medications!$AP:$AP,1,Medications!$AS:$AS,1,INDIRECT("Medications!$"&amp;$D89&amp;":$"&amp;$D89),1)+ROW()/100000,"")</f>
        <v/>
      </c>
      <c r="O89" t="str">
        <f ca="1">IF(O$5,COUNTIFS(Medications!$AN:$AN,ReportAndOutcomeHistory!$A89,Medications!$AP:$AP,1,Medications!$AS:$AS,1,INDIRECT("Medications!$"&amp;$D89&amp;":$"&amp;$D89),1)+ROW()/100000,"")</f>
        <v/>
      </c>
      <c r="P89" t="str">
        <f ca="1">IF(P$5,COUNTIFS(Medications!$AN:$AN,ReportAndOutcomeHistory!$A89,Medications!$AP:$AP,1,Medications!$AS:$AS,1,INDIRECT("Medications!$"&amp;$D89&amp;":$"&amp;$D89),1)+ROW()/100000,"")</f>
        <v/>
      </c>
      <c r="Q89" t="str">
        <f ca="1">IF(Q$5,COUNTIFS(Medications!$AN:$AN,ReportAndOutcomeHistory!$A89,Medications!$AP:$AP,1,Medications!$AS:$AS,1,INDIRECT("Medications!$"&amp;$D89&amp;":$"&amp;$D89),1)+ROW()/100000,"")</f>
        <v/>
      </c>
      <c r="R89" t="str">
        <f ca="1">IF(R$5,COUNTIFS(Medications!$AN:$AN,ReportAndOutcomeHistory!$A89,Medications!$AP:$AP,1,Medications!$AS:$AS,1,INDIRECT("Medications!$"&amp;$D89&amp;":$"&amp;$D89),1)+ROW()/100000,"")</f>
        <v/>
      </c>
    </row>
    <row r="90" spans="1:18" ht="15">
      <c r="A90" t="s">
        <v>41</v>
      </c>
      <c r="B90" t="str">
        <f t="shared" si="22"/>
        <v>Number of medications prescribed to individuals living with dementia for ExpExitSeeking</v>
      </c>
      <c r="C90" t="s">
        <v>252</v>
      </c>
      <c r="D90" t="str">
        <f>IF($S$3,SUBSTITUTE(ADDRESS(1,MATCH($C90,Medications!$1:$1,0),4),"1",""),"")</f>
        <v/>
      </c>
      <c r="E90" t="s">
        <v>466</v>
      </c>
      <c r="F90" t="str">
        <f ca="1">IF(F$5,COUNTIFS(Medications!$AN:$AN,ReportAndOutcomeHistory!$A90,Medications!$AP:$AP,1,Medications!$AS:$AS,1,INDIRECT("Medications!$"&amp;$D90&amp;":$"&amp;$D90),1)+ROW()/100000,"")</f>
        <v/>
      </c>
      <c r="G90" t="str">
        <f ca="1">IF(G$5,COUNTIFS(Medications!$AN:$AN,ReportAndOutcomeHistory!$A90,Medications!$AP:$AP,1,Medications!$AS:$AS,1,INDIRECT("Medications!$"&amp;$D90&amp;":$"&amp;$D90),1)+ROW()/100000,"")</f>
        <v/>
      </c>
      <c r="H90" t="str">
        <f ca="1">IF(H$5,COUNTIFS(Medications!$AN:$AN,ReportAndOutcomeHistory!$A90,Medications!$AP:$AP,1,Medications!$AS:$AS,1,INDIRECT("Medications!$"&amp;$D90&amp;":$"&amp;$D90),1)+ROW()/100000,"")</f>
        <v/>
      </c>
      <c r="I90" t="str">
        <f ca="1">IF(I$5,COUNTIFS(Medications!$AN:$AN,ReportAndOutcomeHistory!$A90,Medications!$AP:$AP,1,Medications!$AS:$AS,1,INDIRECT("Medications!$"&amp;$D90&amp;":$"&amp;$D90),1)+ROW()/100000,"")</f>
        <v/>
      </c>
      <c r="J90" t="str">
        <f ca="1">IF(J$5,COUNTIFS(Medications!$AN:$AN,ReportAndOutcomeHistory!$A90,Medications!$AP:$AP,1,Medications!$AS:$AS,1,INDIRECT("Medications!$"&amp;$D90&amp;":$"&amp;$D90),1)+ROW()/100000,"")</f>
        <v/>
      </c>
      <c r="K90" t="str">
        <f ca="1">IF(K$5,COUNTIFS(Medications!$AN:$AN,ReportAndOutcomeHistory!$A90,Medications!$AP:$AP,1,Medications!$AS:$AS,1,INDIRECT("Medications!$"&amp;$D90&amp;":$"&amp;$D90),1)+ROW()/100000,"")</f>
        <v/>
      </c>
      <c r="L90" t="str">
        <f ca="1">IF(L$5,COUNTIFS(Medications!$AN:$AN,ReportAndOutcomeHistory!$A90,Medications!$AP:$AP,1,Medications!$AS:$AS,1,INDIRECT("Medications!$"&amp;$D90&amp;":$"&amp;$D90),1)+ROW()/100000,"")</f>
        <v/>
      </c>
      <c r="M90" t="str">
        <f ca="1">IF(M$5,COUNTIFS(Medications!$AN:$AN,ReportAndOutcomeHistory!$A90,Medications!$AP:$AP,1,Medications!$AS:$AS,1,INDIRECT("Medications!$"&amp;$D90&amp;":$"&amp;$D90),1)+ROW()/100000,"")</f>
        <v/>
      </c>
      <c r="N90" t="str">
        <f ca="1">IF(N$5,COUNTIFS(Medications!$AN:$AN,ReportAndOutcomeHistory!$A90,Medications!$AP:$AP,1,Medications!$AS:$AS,1,INDIRECT("Medications!$"&amp;$D90&amp;":$"&amp;$D90),1)+ROW()/100000,"")</f>
        <v/>
      </c>
      <c r="O90" t="str">
        <f ca="1">IF(O$5,COUNTIFS(Medications!$AN:$AN,ReportAndOutcomeHistory!$A90,Medications!$AP:$AP,1,Medications!$AS:$AS,1,INDIRECT("Medications!$"&amp;$D90&amp;":$"&amp;$D90),1)+ROW()/100000,"")</f>
        <v/>
      </c>
      <c r="P90" t="str">
        <f ca="1">IF(P$5,COUNTIFS(Medications!$AN:$AN,ReportAndOutcomeHistory!$A90,Medications!$AP:$AP,1,Medications!$AS:$AS,1,INDIRECT("Medications!$"&amp;$D90&amp;":$"&amp;$D90),1)+ROW()/100000,"")</f>
        <v/>
      </c>
      <c r="Q90" t="str">
        <f ca="1">IF(Q$5,COUNTIFS(Medications!$AN:$AN,ReportAndOutcomeHistory!$A90,Medications!$AP:$AP,1,Medications!$AS:$AS,1,INDIRECT("Medications!$"&amp;$D90&amp;":$"&amp;$D90),1)+ROW()/100000,"")</f>
        <v/>
      </c>
      <c r="R90" t="str">
        <f ca="1">IF(R$5,COUNTIFS(Medications!$AN:$AN,ReportAndOutcomeHistory!$A90,Medications!$AP:$AP,1,Medications!$AS:$AS,1,INDIRECT("Medications!$"&amp;$D90&amp;":$"&amp;$D90),1)+ROW()/100000,"")</f>
        <v/>
      </c>
    </row>
    <row r="91" spans="1:18" ht="15">
      <c r="A91" t="s">
        <v>41</v>
      </c>
      <c r="B91" t="str">
        <f t="shared" si="22"/>
        <v>Number of medications prescribed to individuals living with dementia for ExpCrying</v>
      </c>
      <c r="C91" t="s">
        <v>253</v>
      </c>
      <c r="D91" t="str">
        <f>IF($S$3,SUBSTITUTE(ADDRESS(1,MATCH($C91,Medications!$1:$1,0),4),"1",""),"")</f>
        <v/>
      </c>
      <c r="E91" t="s">
        <v>466</v>
      </c>
      <c r="F91" t="str">
        <f ca="1">IF(F$5,COUNTIFS(Medications!$AN:$AN,ReportAndOutcomeHistory!$A91,Medications!$AP:$AP,1,Medications!$AS:$AS,1,INDIRECT("Medications!$"&amp;$D91&amp;":$"&amp;$D91),1)+ROW()/100000,"")</f>
        <v/>
      </c>
      <c r="G91" t="str">
        <f ca="1">IF(G$5,COUNTIFS(Medications!$AN:$AN,ReportAndOutcomeHistory!$A91,Medications!$AP:$AP,1,Medications!$AS:$AS,1,INDIRECT("Medications!$"&amp;$D91&amp;":$"&amp;$D91),1)+ROW()/100000,"")</f>
        <v/>
      </c>
      <c r="H91" t="str">
        <f ca="1">IF(H$5,COUNTIFS(Medications!$AN:$AN,ReportAndOutcomeHistory!$A91,Medications!$AP:$AP,1,Medications!$AS:$AS,1,INDIRECT("Medications!$"&amp;$D91&amp;":$"&amp;$D91),1)+ROW()/100000,"")</f>
        <v/>
      </c>
      <c r="I91" t="str">
        <f ca="1">IF(I$5,COUNTIFS(Medications!$AN:$AN,ReportAndOutcomeHistory!$A91,Medications!$AP:$AP,1,Medications!$AS:$AS,1,INDIRECT("Medications!$"&amp;$D91&amp;":$"&amp;$D91),1)+ROW()/100000,"")</f>
        <v/>
      </c>
      <c r="J91" t="str">
        <f ca="1">IF(J$5,COUNTIFS(Medications!$AN:$AN,ReportAndOutcomeHistory!$A91,Medications!$AP:$AP,1,Medications!$AS:$AS,1,INDIRECT("Medications!$"&amp;$D91&amp;":$"&amp;$D91),1)+ROW()/100000,"")</f>
        <v/>
      </c>
      <c r="K91" t="str">
        <f ca="1">IF(K$5,COUNTIFS(Medications!$AN:$AN,ReportAndOutcomeHistory!$A91,Medications!$AP:$AP,1,Medications!$AS:$AS,1,INDIRECT("Medications!$"&amp;$D91&amp;":$"&amp;$D91),1)+ROW()/100000,"")</f>
        <v/>
      </c>
      <c r="L91" t="str">
        <f ca="1">IF(L$5,COUNTIFS(Medications!$AN:$AN,ReportAndOutcomeHistory!$A91,Medications!$AP:$AP,1,Medications!$AS:$AS,1,INDIRECT("Medications!$"&amp;$D91&amp;":$"&amp;$D91),1)+ROW()/100000,"")</f>
        <v/>
      </c>
      <c r="M91" t="str">
        <f ca="1">IF(M$5,COUNTIFS(Medications!$AN:$AN,ReportAndOutcomeHistory!$A91,Medications!$AP:$AP,1,Medications!$AS:$AS,1,INDIRECT("Medications!$"&amp;$D91&amp;":$"&amp;$D91),1)+ROW()/100000,"")</f>
        <v/>
      </c>
      <c r="N91" t="str">
        <f ca="1">IF(N$5,COUNTIFS(Medications!$AN:$AN,ReportAndOutcomeHistory!$A91,Medications!$AP:$AP,1,Medications!$AS:$AS,1,INDIRECT("Medications!$"&amp;$D91&amp;":$"&amp;$D91),1)+ROW()/100000,"")</f>
        <v/>
      </c>
      <c r="O91" t="str">
        <f ca="1">IF(O$5,COUNTIFS(Medications!$AN:$AN,ReportAndOutcomeHistory!$A91,Medications!$AP:$AP,1,Medications!$AS:$AS,1,INDIRECT("Medications!$"&amp;$D91&amp;":$"&amp;$D91),1)+ROW()/100000,"")</f>
        <v/>
      </c>
      <c r="P91" t="str">
        <f ca="1">IF(P$5,COUNTIFS(Medications!$AN:$AN,ReportAndOutcomeHistory!$A91,Medications!$AP:$AP,1,Medications!$AS:$AS,1,INDIRECT("Medications!$"&amp;$D91&amp;":$"&amp;$D91),1)+ROW()/100000,"")</f>
        <v/>
      </c>
      <c r="Q91" t="str">
        <f ca="1">IF(Q$5,COUNTIFS(Medications!$AN:$AN,ReportAndOutcomeHistory!$A91,Medications!$AP:$AP,1,Medications!$AS:$AS,1,INDIRECT("Medications!$"&amp;$D91&amp;":$"&amp;$D91),1)+ROW()/100000,"")</f>
        <v/>
      </c>
      <c r="R91" t="str">
        <f ca="1">IF(R$5,COUNTIFS(Medications!$AN:$AN,ReportAndOutcomeHistory!$A91,Medications!$AP:$AP,1,Medications!$AS:$AS,1,INDIRECT("Medications!$"&amp;$D91&amp;":$"&amp;$D91),1)+ROW()/100000,"")</f>
        <v/>
      </c>
    </row>
    <row r="92" spans="1:18" ht="15">
      <c r="A92" t="s">
        <v>41</v>
      </c>
      <c r="B92" t="str">
        <f t="shared" si="22"/>
        <v>Number of medications prescribed to individuals living with dementia for ExpSlumping</v>
      </c>
      <c r="C92" t="s">
        <v>254</v>
      </c>
      <c r="D92" t="str">
        <f>IF($S$3,SUBSTITUTE(ADDRESS(1,MATCH($C92,Medications!$1:$1,0),4),"1",""),"")</f>
        <v/>
      </c>
      <c r="E92" t="s">
        <v>466</v>
      </c>
      <c r="F92" t="str">
        <f ca="1">IF(F$5,COUNTIFS(Medications!$AN:$AN,ReportAndOutcomeHistory!$A92,Medications!$AP:$AP,1,Medications!$AS:$AS,1,INDIRECT("Medications!$"&amp;$D92&amp;":$"&amp;$D92),1)+ROW()/100000,"")</f>
        <v/>
      </c>
      <c r="G92" t="str">
        <f ca="1">IF(G$5,COUNTIFS(Medications!$AN:$AN,ReportAndOutcomeHistory!$A92,Medications!$AP:$AP,1,Medications!$AS:$AS,1,INDIRECT("Medications!$"&amp;$D92&amp;":$"&amp;$D92),1)+ROW()/100000,"")</f>
        <v/>
      </c>
      <c r="H92" t="str">
        <f ca="1">IF(H$5,COUNTIFS(Medications!$AN:$AN,ReportAndOutcomeHistory!$A92,Medications!$AP:$AP,1,Medications!$AS:$AS,1,INDIRECT("Medications!$"&amp;$D92&amp;":$"&amp;$D92),1)+ROW()/100000,"")</f>
        <v/>
      </c>
      <c r="I92" t="str">
        <f ca="1">IF(I$5,COUNTIFS(Medications!$AN:$AN,ReportAndOutcomeHistory!$A92,Medications!$AP:$AP,1,Medications!$AS:$AS,1,INDIRECT("Medications!$"&amp;$D92&amp;":$"&amp;$D92),1)+ROW()/100000,"")</f>
        <v/>
      </c>
      <c r="J92" t="str">
        <f ca="1">IF(J$5,COUNTIFS(Medications!$AN:$AN,ReportAndOutcomeHistory!$A92,Medications!$AP:$AP,1,Medications!$AS:$AS,1,INDIRECT("Medications!$"&amp;$D92&amp;":$"&amp;$D92),1)+ROW()/100000,"")</f>
        <v/>
      </c>
      <c r="K92" t="str">
        <f ca="1">IF(K$5,COUNTIFS(Medications!$AN:$AN,ReportAndOutcomeHistory!$A92,Medications!$AP:$AP,1,Medications!$AS:$AS,1,INDIRECT("Medications!$"&amp;$D92&amp;":$"&amp;$D92),1)+ROW()/100000,"")</f>
        <v/>
      </c>
      <c r="L92" t="str">
        <f ca="1">IF(L$5,COUNTIFS(Medications!$AN:$AN,ReportAndOutcomeHistory!$A92,Medications!$AP:$AP,1,Medications!$AS:$AS,1,INDIRECT("Medications!$"&amp;$D92&amp;":$"&amp;$D92),1)+ROW()/100000,"")</f>
        <v/>
      </c>
      <c r="M92" t="str">
        <f ca="1">IF(M$5,COUNTIFS(Medications!$AN:$AN,ReportAndOutcomeHistory!$A92,Medications!$AP:$AP,1,Medications!$AS:$AS,1,INDIRECT("Medications!$"&amp;$D92&amp;":$"&amp;$D92),1)+ROW()/100000,"")</f>
        <v/>
      </c>
      <c r="N92" t="str">
        <f ca="1">IF(N$5,COUNTIFS(Medications!$AN:$AN,ReportAndOutcomeHistory!$A92,Medications!$AP:$AP,1,Medications!$AS:$AS,1,INDIRECT("Medications!$"&amp;$D92&amp;":$"&amp;$D92),1)+ROW()/100000,"")</f>
        <v/>
      </c>
      <c r="O92" t="str">
        <f ca="1">IF(O$5,COUNTIFS(Medications!$AN:$AN,ReportAndOutcomeHistory!$A92,Medications!$AP:$AP,1,Medications!$AS:$AS,1,INDIRECT("Medications!$"&amp;$D92&amp;":$"&amp;$D92),1)+ROW()/100000,"")</f>
        <v/>
      </c>
      <c r="P92" t="str">
        <f ca="1">IF(P$5,COUNTIFS(Medications!$AN:$AN,ReportAndOutcomeHistory!$A92,Medications!$AP:$AP,1,Medications!$AS:$AS,1,INDIRECT("Medications!$"&amp;$D92&amp;":$"&amp;$D92),1)+ROW()/100000,"")</f>
        <v/>
      </c>
      <c r="Q92" t="str">
        <f ca="1">IF(Q$5,COUNTIFS(Medications!$AN:$AN,ReportAndOutcomeHistory!$A92,Medications!$AP:$AP,1,Medications!$AS:$AS,1,INDIRECT("Medications!$"&amp;$D92&amp;":$"&amp;$D92),1)+ROW()/100000,"")</f>
        <v/>
      </c>
      <c r="R92" t="str">
        <f ca="1">IF(R$5,COUNTIFS(Medications!$AN:$AN,ReportAndOutcomeHistory!$A92,Medications!$AP:$AP,1,Medications!$AS:$AS,1,INDIRECT("Medications!$"&amp;$D92&amp;":$"&amp;$D92),1)+ROW()/100000,"")</f>
        <v/>
      </c>
    </row>
    <row r="93" spans="1:18" ht="15">
      <c r="A93" t="s">
        <v>41</v>
      </c>
      <c r="B93" t="str">
        <f t="shared" si="22"/>
        <v>Number of medications prescribed to individuals living with dementia for ExpAnxiety</v>
      </c>
      <c r="C93" t="s">
        <v>255</v>
      </c>
      <c r="D93" t="str">
        <f>IF($S$3,SUBSTITUTE(ADDRESS(1,MATCH($C93,Medications!$1:$1,0),4),"1",""),"")</f>
        <v/>
      </c>
      <c r="E93" t="s">
        <v>466</v>
      </c>
      <c r="F93" t="str">
        <f ca="1">IF(F$5,COUNTIFS(Medications!$AN:$AN,ReportAndOutcomeHistory!$A93,Medications!$AP:$AP,1,Medications!$AS:$AS,1,INDIRECT("Medications!$"&amp;$D93&amp;":$"&amp;$D93),1)+ROW()/100000,"")</f>
        <v/>
      </c>
      <c r="G93" t="str">
        <f ca="1">IF(G$5,COUNTIFS(Medications!$AN:$AN,ReportAndOutcomeHistory!$A93,Medications!$AP:$AP,1,Medications!$AS:$AS,1,INDIRECT("Medications!$"&amp;$D93&amp;":$"&amp;$D93),1)+ROW()/100000,"")</f>
        <v/>
      </c>
      <c r="H93" t="str">
        <f ca="1">IF(H$5,COUNTIFS(Medications!$AN:$AN,ReportAndOutcomeHistory!$A93,Medications!$AP:$AP,1,Medications!$AS:$AS,1,INDIRECT("Medications!$"&amp;$D93&amp;":$"&amp;$D93),1)+ROW()/100000,"")</f>
        <v/>
      </c>
      <c r="I93" t="str">
        <f ca="1">IF(I$5,COUNTIFS(Medications!$AN:$AN,ReportAndOutcomeHistory!$A93,Medications!$AP:$AP,1,Medications!$AS:$AS,1,INDIRECT("Medications!$"&amp;$D93&amp;":$"&amp;$D93),1)+ROW()/100000,"")</f>
        <v/>
      </c>
      <c r="J93" t="str">
        <f ca="1">IF(J$5,COUNTIFS(Medications!$AN:$AN,ReportAndOutcomeHistory!$A93,Medications!$AP:$AP,1,Medications!$AS:$AS,1,INDIRECT("Medications!$"&amp;$D93&amp;":$"&amp;$D93),1)+ROW()/100000,"")</f>
        <v/>
      </c>
      <c r="K93" t="str">
        <f ca="1">IF(K$5,COUNTIFS(Medications!$AN:$AN,ReportAndOutcomeHistory!$A93,Medications!$AP:$AP,1,Medications!$AS:$AS,1,INDIRECT("Medications!$"&amp;$D93&amp;":$"&amp;$D93),1)+ROW()/100000,"")</f>
        <v/>
      </c>
      <c r="L93" t="str">
        <f ca="1">IF(L$5,COUNTIFS(Medications!$AN:$AN,ReportAndOutcomeHistory!$A93,Medications!$AP:$AP,1,Medications!$AS:$AS,1,INDIRECT("Medications!$"&amp;$D93&amp;":$"&amp;$D93),1)+ROW()/100000,"")</f>
        <v/>
      </c>
      <c r="M93" t="str">
        <f ca="1">IF(M$5,COUNTIFS(Medications!$AN:$AN,ReportAndOutcomeHistory!$A93,Medications!$AP:$AP,1,Medications!$AS:$AS,1,INDIRECT("Medications!$"&amp;$D93&amp;":$"&amp;$D93),1)+ROW()/100000,"")</f>
        <v/>
      </c>
      <c r="N93" t="str">
        <f ca="1">IF(N$5,COUNTIFS(Medications!$AN:$AN,ReportAndOutcomeHistory!$A93,Medications!$AP:$AP,1,Medications!$AS:$AS,1,INDIRECT("Medications!$"&amp;$D93&amp;":$"&amp;$D93),1)+ROW()/100000,"")</f>
        <v/>
      </c>
      <c r="O93" t="str">
        <f ca="1">IF(O$5,COUNTIFS(Medications!$AN:$AN,ReportAndOutcomeHistory!$A93,Medications!$AP:$AP,1,Medications!$AS:$AS,1,INDIRECT("Medications!$"&amp;$D93&amp;":$"&amp;$D93),1)+ROW()/100000,"")</f>
        <v/>
      </c>
      <c r="P93" t="str">
        <f ca="1">IF(P$5,COUNTIFS(Medications!$AN:$AN,ReportAndOutcomeHistory!$A93,Medications!$AP:$AP,1,Medications!$AS:$AS,1,INDIRECT("Medications!$"&amp;$D93&amp;":$"&amp;$D93),1)+ROW()/100000,"")</f>
        <v/>
      </c>
      <c r="Q93" t="str">
        <f ca="1">IF(Q$5,COUNTIFS(Medications!$AN:$AN,ReportAndOutcomeHistory!$A93,Medications!$AP:$AP,1,Medications!$AS:$AS,1,INDIRECT("Medications!$"&amp;$D93&amp;":$"&amp;$D93),1)+ROW()/100000,"")</f>
        <v/>
      </c>
      <c r="R93" t="str">
        <f ca="1">IF(R$5,COUNTIFS(Medications!$AN:$AN,ReportAndOutcomeHistory!$A93,Medications!$AP:$AP,1,Medications!$AS:$AS,1,INDIRECT("Medications!$"&amp;$D93&amp;":$"&amp;$D93),1)+ROW()/100000,"")</f>
        <v/>
      </c>
    </row>
    <row r="94" spans="1:18" ht="15">
      <c r="A94" t="s">
        <v>41</v>
      </c>
      <c r="B94" t="str">
        <f t="shared" si="22"/>
        <v>Number of medications prescribed to individuals living with dementia for ExpVerbalAgitation</v>
      </c>
      <c r="C94" t="s">
        <v>256</v>
      </c>
      <c r="D94" t="str">
        <f>IF($S$3,SUBSTITUTE(ADDRESS(1,MATCH($C94,Medications!$1:$1,0),4),"1",""),"")</f>
        <v/>
      </c>
      <c r="E94" t="s">
        <v>466</v>
      </c>
      <c r="F94" t="str">
        <f ca="1">IF(F$5,COUNTIFS(Medications!$AN:$AN,ReportAndOutcomeHistory!$A94,Medications!$AP:$AP,1,Medications!$AS:$AS,1,INDIRECT("Medications!$"&amp;$D94&amp;":$"&amp;$D94),1)+ROW()/100000,"")</f>
        <v/>
      </c>
      <c r="G94" t="str">
        <f ca="1">IF(G$5,COUNTIFS(Medications!$AN:$AN,ReportAndOutcomeHistory!$A94,Medications!$AP:$AP,1,Medications!$AS:$AS,1,INDIRECT("Medications!$"&amp;$D94&amp;":$"&amp;$D94),1)+ROW()/100000,"")</f>
        <v/>
      </c>
      <c r="H94" t="str">
        <f ca="1">IF(H$5,COUNTIFS(Medications!$AN:$AN,ReportAndOutcomeHistory!$A94,Medications!$AP:$AP,1,Medications!$AS:$AS,1,INDIRECT("Medications!$"&amp;$D94&amp;":$"&amp;$D94),1)+ROW()/100000,"")</f>
        <v/>
      </c>
      <c r="I94" t="str">
        <f ca="1">IF(I$5,COUNTIFS(Medications!$AN:$AN,ReportAndOutcomeHistory!$A94,Medications!$AP:$AP,1,Medications!$AS:$AS,1,INDIRECT("Medications!$"&amp;$D94&amp;":$"&amp;$D94),1)+ROW()/100000,"")</f>
        <v/>
      </c>
      <c r="J94" t="str">
        <f ca="1">IF(J$5,COUNTIFS(Medications!$AN:$AN,ReportAndOutcomeHistory!$A94,Medications!$AP:$AP,1,Medications!$AS:$AS,1,INDIRECT("Medications!$"&amp;$D94&amp;":$"&amp;$D94),1)+ROW()/100000,"")</f>
        <v/>
      </c>
      <c r="K94" t="str">
        <f ca="1">IF(K$5,COUNTIFS(Medications!$AN:$AN,ReportAndOutcomeHistory!$A94,Medications!$AP:$AP,1,Medications!$AS:$AS,1,INDIRECT("Medications!$"&amp;$D94&amp;":$"&amp;$D94),1)+ROW()/100000,"")</f>
        <v/>
      </c>
      <c r="L94" t="str">
        <f ca="1">IF(L$5,COUNTIFS(Medications!$AN:$AN,ReportAndOutcomeHistory!$A94,Medications!$AP:$AP,1,Medications!$AS:$AS,1,INDIRECT("Medications!$"&amp;$D94&amp;":$"&amp;$D94),1)+ROW()/100000,"")</f>
        <v/>
      </c>
      <c r="M94" t="str">
        <f ca="1">IF(M$5,COUNTIFS(Medications!$AN:$AN,ReportAndOutcomeHistory!$A94,Medications!$AP:$AP,1,Medications!$AS:$AS,1,INDIRECT("Medications!$"&amp;$D94&amp;":$"&amp;$D94),1)+ROW()/100000,"")</f>
        <v/>
      </c>
      <c r="N94" t="str">
        <f ca="1">IF(N$5,COUNTIFS(Medications!$AN:$AN,ReportAndOutcomeHistory!$A94,Medications!$AP:$AP,1,Medications!$AS:$AS,1,INDIRECT("Medications!$"&amp;$D94&amp;":$"&amp;$D94),1)+ROW()/100000,"")</f>
        <v/>
      </c>
      <c r="O94" t="str">
        <f ca="1">IF(O$5,COUNTIFS(Medications!$AN:$AN,ReportAndOutcomeHistory!$A94,Medications!$AP:$AP,1,Medications!$AS:$AS,1,INDIRECT("Medications!$"&amp;$D94&amp;":$"&amp;$D94),1)+ROW()/100000,"")</f>
        <v/>
      </c>
      <c r="P94" t="str">
        <f ca="1">IF(P$5,COUNTIFS(Medications!$AN:$AN,ReportAndOutcomeHistory!$A94,Medications!$AP:$AP,1,Medications!$AS:$AS,1,INDIRECT("Medications!$"&amp;$D94&amp;":$"&amp;$D94),1)+ROW()/100000,"")</f>
        <v/>
      </c>
      <c r="Q94" t="str">
        <f ca="1">IF(Q$5,COUNTIFS(Medications!$AN:$AN,ReportAndOutcomeHistory!$A94,Medications!$AP:$AP,1,Medications!$AS:$AS,1,INDIRECT("Medications!$"&amp;$D94&amp;":$"&amp;$D94),1)+ROW()/100000,"")</f>
        <v/>
      </c>
      <c r="R94" t="str">
        <f ca="1">IF(R$5,COUNTIFS(Medications!$AN:$AN,ReportAndOutcomeHistory!$A94,Medications!$AP:$AP,1,Medications!$AS:$AS,1,INDIRECT("Medications!$"&amp;$D94&amp;":$"&amp;$D94),1)+ROW()/100000,"")</f>
        <v/>
      </c>
    </row>
    <row r="95" spans="1:18" ht="15">
      <c r="A95" t="s">
        <v>41</v>
      </c>
      <c r="B95" t="str">
        <f t="shared" si="22"/>
        <v>Number of medications prescribed to individuals living with dementia for ExpPhysicalAgitation</v>
      </c>
      <c r="C95" t="s">
        <v>257</v>
      </c>
      <c r="D95" t="str">
        <f>IF($S$3,SUBSTITUTE(ADDRESS(1,MATCH($C95,Medications!$1:$1,0),4),"1",""),"")</f>
        <v/>
      </c>
      <c r="E95" t="s">
        <v>466</v>
      </c>
      <c r="F95" t="str">
        <f ca="1">IF(F$5,COUNTIFS(Medications!$AN:$AN,ReportAndOutcomeHistory!$A95,Medications!$AP:$AP,1,Medications!$AS:$AS,1,INDIRECT("Medications!$"&amp;$D95&amp;":$"&amp;$D95),1)+ROW()/100000,"")</f>
        <v/>
      </c>
      <c r="G95" t="str">
        <f ca="1">IF(G$5,COUNTIFS(Medications!$AN:$AN,ReportAndOutcomeHistory!$A95,Medications!$AP:$AP,1,Medications!$AS:$AS,1,INDIRECT("Medications!$"&amp;$D95&amp;":$"&amp;$D95),1)+ROW()/100000,"")</f>
        <v/>
      </c>
      <c r="H95" t="str">
        <f ca="1">IF(H$5,COUNTIFS(Medications!$AN:$AN,ReportAndOutcomeHistory!$A95,Medications!$AP:$AP,1,Medications!$AS:$AS,1,INDIRECT("Medications!$"&amp;$D95&amp;":$"&amp;$D95),1)+ROW()/100000,"")</f>
        <v/>
      </c>
      <c r="I95" t="str">
        <f ca="1">IF(I$5,COUNTIFS(Medications!$AN:$AN,ReportAndOutcomeHistory!$A95,Medications!$AP:$AP,1,Medications!$AS:$AS,1,INDIRECT("Medications!$"&amp;$D95&amp;":$"&amp;$D95),1)+ROW()/100000,"")</f>
        <v/>
      </c>
      <c r="J95" t="str">
        <f ca="1">IF(J$5,COUNTIFS(Medications!$AN:$AN,ReportAndOutcomeHistory!$A95,Medications!$AP:$AP,1,Medications!$AS:$AS,1,INDIRECT("Medications!$"&amp;$D95&amp;":$"&amp;$D95),1)+ROW()/100000,"")</f>
        <v/>
      </c>
      <c r="K95" t="str">
        <f ca="1">IF(K$5,COUNTIFS(Medications!$AN:$AN,ReportAndOutcomeHistory!$A95,Medications!$AP:$AP,1,Medications!$AS:$AS,1,INDIRECT("Medications!$"&amp;$D95&amp;":$"&amp;$D95),1)+ROW()/100000,"")</f>
        <v/>
      </c>
      <c r="L95" t="str">
        <f ca="1">IF(L$5,COUNTIFS(Medications!$AN:$AN,ReportAndOutcomeHistory!$A95,Medications!$AP:$AP,1,Medications!$AS:$AS,1,INDIRECT("Medications!$"&amp;$D95&amp;":$"&amp;$D95),1)+ROW()/100000,"")</f>
        <v/>
      </c>
      <c r="M95" t="str">
        <f ca="1">IF(M$5,COUNTIFS(Medications!$AN:$AN,ReportAndOutcomeHistory!$A95,Medications!$AP:$AP,1,Medications!$AS:$AS,1,INDIRECT("Medications!$"&amp;$D95&amp;":$"&amp;$D95),1)+ROW()/100000,"")</f>
        <v/>
      </c>
      <c r="N95" t="str">
        <f ca="1">IF(N$5,COUNTIFS(Medications!$AN:$AN,ReportAndOutcomeHistory!$A95,Medications!$AP:$AP,1,Medications!$AS:$AS,1,INDIRECT("Medications!$"&amp;$D95&amp;":$"&amp;$D95),1)+ROW()/100000,"")</f>
        <v/>
      </c>
      <c r="O95" t="str">
        <f ca="1">IF(O$5,COUNTIFS(Medications!$AN:$AN,ReportAndOutcomeHistory!$A95,Medications!$AP:$AP,1,Medications!$AS:$AS,1,INDIRECT("Medications!$"&amp;$D95&amp;":$"&amp;$D95),1)+ROW()/100000,"")</f>
        <v/>
      </c>
      <c r="P95" t="str">
        <f ca="1">IF(P$5,COUNTIFS(Medications!$AN:$AN,ReportAndOutcomeHistory!$A95,Medications!$AP:$AP,1,Medications!$AS:$AS,1,INDIRECT("Medications!$"&amp;$D95&amp;":$"&amp;$D95),1)+ROW()/100000,"")</f>
        <v/>
      </c>
      <c r="Q95" t="str">
        <f ca="1">IF(Q$5,COUNTIFS(Medications!$AN:$AN,ReportAndOutcomeHistory!$A95,Medications!$AP:$AP,1,Medications!$AS:$AS,1,INDIRECT("Medications!$"&amp;$D95&amp;":$"&amp;$D95),1)+ROW()/100000,"")</f>
        <v/>
      </c>
      <c r="R95" t="str">
        <f ca="1">IF(R$5,COUNTIFS(Medications!$AN:$AN,ReportAndOutcomeHistory!$A95,Medications!$AP:$AP,1,Medications!$AS:$AS,1,INDIRECT("Medications!$"&amp;$D95&amp;":$"&amp;$D95),1)+ROW()/100000,"")</f>
        <v/>
      </c>
    </row>
    <row r="96" spans="1:18" ht="15">
      <c r="A96" t="s">
        <v>41</v>
      </c>
      <c r="B96" t="str">
        <f t="shared" si="22"/>
        <v>Number of medications prescribed to individuals living with dementia for ExpInsomnia</v>
      </c>
      <c r="C96" t="s">
        <v>258</v>
      </c>
      <c r="D96" t="str">
        <f>IF($S$3,SUBSTITUTE(ADDRESS(1,MATCH($C96,Medications!$1:$1,0),4),"1",""),"")</f>
        <v/>
      </c>
      <c r="E96" t="s">
        <v>466</v>
      </c>
      <c r="F96" t="str">
        <f ca="1">IF(F$5,COUNTIFS(Medications!$AN:$AN,ReportAndOutcomeHistory!$A96,Medications!$AP:$AP,1,Medications!$AS:$AS,1,INDIRECT("Medications!$"&amp;$D96&amp;":$"&amp;$D96),1)+ROW()/100000,"")</f>
        <v/>
      </c>
      <c r="G96" t="str">
        <f ca="1">IF(G$5,COUNTIFS(Medications!$AN:$AN,ReportAndOutcomeHistory!$A96,Medications!$AP:$AP,1,Medications!$AS:$AS,1,INDIRECT("Medications!$"&amp;$D96&amp;":$"&amp;$D96),1)+ROW()/100000,"")</f>
        <v/>
      </c>
      <c r="H96" t="str">
        <f ca="1">IF(H$5,COUNTIFS(Medications!$AN:$AN,ReportAndOutcomeHistory!$A96,Medications!$AP:$AP,1,Medications!$AS:$AS,1,INDIRECT("Medications!$"&amp;$D96&amp;":$"&amp;$D96),1)+ROW()/100000,"")</f>
        <v/>
      </c>
      <c r="I96" t="str">
        <f ca="1">IF(I$5,COUNTIFS(Medications!$AN:$AN,ReportAndOutcomeHistory!$A96,Medications!$AP:$AP,1,Medications!$AS:$AS,1,INDIRECT("Medications!$"&amp;$D96&amp;":$"&amp;$D96),1)+ROW()/100000,"")</f>
        <v/>
      </c>
      <c r="J96" t="str">
        <f ca="1">IF(J$5,COUNTIFS(Medications!$AN:$AN,ReportAndOutcomeHistory!$A96,Medications!$AP:$AP,1,Medications!$AS:$AS,1,INDIRECT("Medications!$"&amp;$D96&amp;":$"&amp;$D96),1)+ROW()/100000,"")</f>
        <v/>
      </c>
      <c r="K96" t="str">
        <f ca="1">IF(K$5,COUNTIFS(Medications!$AN:$AN,ReportAndOutcomeHistory!$A96,Medications!$AP:$AP,1,Medications!$AS:$AS,1,INDIRECT("Medications!$"&amp;$D96&amp;":$"&amp;$D96),1)+ROW()/100000,"")</f>
        <v/>
      </c>
      <c r="L96" t="str">
        <f ca="1">IF(L$5,COUNTIFS(Medications!$AN:$AN,ReportAndOutcomeHistory!$A96,Medications!$AP:$AP,1,Medications!$AS:$AS,1,INDIRECT("Medications!$"&amp;$D96&amp;":$"&amp;$D96),1)+ROW()/100000,"")</f>
        <v/>
      </c>
      <c r="M96" t="str">
        <f ca="1">IF(M$5,COUNTIFS(Medications!$AN:$AN,ReportAndOutcomeHistory!$A96,Medications!$AP:$AP,1,Medications!$AS:$AS,1,INDIRECT("Medications!$"&amp;$D96&amp;":$"&amp;$D96),1)+ROW()/100000,"")</f>
        <v/>
      </c>
      <c r="N96" t="str">
        <f ca="1">IF(N$5,COUNTIFS(Medications!$AN:$AN,ReportAndOutcomeHistory!$A96,Medications!$AP:$AP,1,Medications!$AS:$AS,1,INDIRECT("Medications!$"&amp;$D96&amp;":$"&amp;$D96),1)+ROW()/100000,"")</f>
        <v/>
      </c>
      <c r="O96" t="str">
        <f ca="1">IF(O$5,COUNTIFS(Medications!$AN:$AN,ReportAndOutcomeHistory!$A96,Medications!$AP:$AP,1,Medications!$AS:$AS,1,INDIRECT("Medications!$"&amp;$D96&amp;":$"&amp;$D96),1)+ROW()/100000,"")</f>
        <v/>
      </c>
      <c r="P96" t="str">
        <f ca="1">IF(P$5,COUNTIFS(Medications!$AN:$AN,ReportAndOutcomeHistory!$A96,Medications!$AP:$AP,1,Medications!$AS:$AS,1,INDIRECT("Medications!$"&amp;$D96&amp;":$"&amp;$D96),1)+ROW()/100000,"")</f>
        <v/>
      </c>
      <c r="Q96" t="str">
        <f ca="1">IF(Q$5,COUNTIFS(Medications!$AN:$AN,ReportAndOutcomeHistory!$A96,Medications!$AP:$AP,1,Medications!$AS:$AS,1,INDIRECT("Medications!$"&amp;$D96&amp;":$"&amp;$D96),1)+ROW()/100000,"")</f>
        <v/>
      </c>
      <c r="R96" t="str">
        <f ca="1">IF(R$5,COUNTIFS(Medications!$AN:$AN,ReportAndOutcomeHistory!$A96,Medications!$AP:$AP,1,Medications!$AS:$AS,1,INDIRECT("Medications!$"&amp;$D96&amp;":$"&amp;$D96),1)+ROW()/100000,"")</f>
        <v/>
      </c>
    </row>
    <row r="97" spans="1:18" ht="15">
      <c r="A97" t="s">
        <v>41</v>
      </c>
      <c r="B97" t="str">
        <f t="shared" si="22"/>
        <v>Number of medications prescribed to individuals living with dementia for ExpNudity</v>
      </c>
      <c r="C97" t="s">
        <v>259</v>
      </c>
      <c r="D97" t="str">
        <f>IF($S$3,SUBSTITUTE(ADDRESS(1,MATCH($C97,Medications!$1:$1,0),4),"1",""),"")</f>
        <v/>
      </c>
      <c r="E97" t="s">
        <v>466</v>
      </c>
      <c r="F97" t="str">
        <f ca="1">IF(F$5,COUNTIFS(Medications!$AN:$AN,ReportAndOutcomeHistory!$A97,Medications!$AP:$AP,1,Medications!$AS:$AS,1,INDIRECT("Medications!$"&amp;$D97&amp;":$"&amp;$D97),1)+ROW()/100000,"")</f>
        <v/>
      </c>
      <c r="G97" t="str">
        <f ca="1">IF(G$5,COUNTIFS(Medications!$AN:$AN,ReportAndOutcomeHistory!$A97,Medications!$AP:$AP,1,Medications!$AS:$AS,1,INDIRECT("Medications!$"&amp;$D97&amp;":$"&amp;$D97),1)+ROW()/100000,"")</f>
        <v/>
      </c>
      <c r="H97" t="str">
        <f ca="1">IF(H$5,COUNTIFS(Medications!$AN:$AN,ReportAndOutcomeHistory!$A97,Medications!$AP:$AP,1,Medications!$AS:$AS,1,INDIRECT("Medications!$"&amp;$D97&amp;":$"&amp;$D97),1)+ROW()/100000,"")</f>
        <v/>
      </c>
      <c r="I97" t="str">
        <f ca="1">IF(I$5,COUNTIFS(Medications!$AN:$AN,ReportAndOutcomeHistory!$A97,Medications!$AP:$AP,1,Medications!$AS:$AS,1,INDIRECT("Medications!$"&amp;$D97&amp;":$"&amp;$D97),1)+ROW()/100000,"")</f>
        <v/>
      </c>
      <c r="J97" t="str">
        <f ca="1">IF(J$5,COUNTIFS(Medications!$AN:$AN,ReportAndOutcomeHistory!$A97,Medications!$AP:$AP,1,Medications!$AS:$AS,1,INDIRECT("Medications!$"&amp;$D97&amp;":$"&amp;$D97),1)+ROW()/100000,"")</f>
        <v/>
      </c>
      <c r="K97" t="str">
        <f ca="1">IF(K$5,COUNTIFS(Medications!$AN:$AN,ReportAndOutcomeHistory!$A97,Medications!$AP:$AP,1,Medications!$AS:$AS,1,INDIRECT("Medications!$"&amp;$D97&amp;":$"&amp;$D97),1)+ROW()/100000,"")</f>
        <v/>
      </c>
      <c r="L97" t="str">
        <f ca="1">IF(L$5,COUNTIFS(Medications!$AN:$AN,ReportAndOutcomeHistory!$A97,Medications!$AP:$AP,1,Medications!$AS:$AS,1,INDIRECT("Medications!$"&amp;$D97&amp;":$"&amp;$D97),1)+ROW()/100000,"")</f>
        <v/>
      </c>
      <c r="M97" t="str">
        <f ca="1">IF(M$5,COUNTIFS(Medications!$AN:$AN,ReportAndOutcomeHistory!$A97,Medications!$AP:$AP,1,Medications!$AS:$AS,1,INDIRECT("Medications!$"&amp;$D97&amp;":$"&amp;$D97),1)+ROW()/100000,"")</f>
        <v/>
      </c>
      <c r="N97" t="str">
        <f ca="1">IF(N$5,COUNTIFS(Medications!$AN:$AN,ReportAndOutcomeHistory!$A97,Medications!$AP:$AP,1,Medications!$AS:$AS,1,INDIRECT("Medications!$"&amp;$D97&amp;":$"&amp;$D97),1)+ROW()/100000,"")</f>
        <v/>
      </c>
      <c r="O97" t="str">
        <f ca="1">IF(O$5,COUNTIFS(Medications!$AN:$AN,ReportAndOutcomeHistory!$A97,Medications!$AP:$AP,1,Medications!$AS:$AS,1,INDIRECT("Medications!$"&amp;$D97&amp;":$"&amp;$D97),1)+ROW()/100000,"")</f>
        <v/>
      </c>
      <c r="P97" t="str">
        <f ca="1">IF(P$5,COUNTIFS(Medications!$AN:$AN,ReportAndOutcomeHistory!$A97,Medications!$AP:$AP,1,Medications!$AS:$AS,1,INDIRECT("Medications!$"&amp;$D97&amp;":$"&amp;$D97),1)+ROW()/100000,"")</f>
        <v/>
      </c>
      <c r="Q97" t="str">
        <f ca="1">IF(Q$5,COUNTIFS(Medications!$AN:$AN,ReportAndOutcomeHistory!$A97,Medications!$AP:$AP,1,Medications!$AS:$AS,1,INDIRECT("Medications!$"&amp;$D97&amp;":$"&amp;$D97),1)+ROW()/100000,"")</f>
        <v/>
      </c>
      <c r="R97" t="str">
        <f ca="1">IF(R$5,COUNTIFS(Medications!$AN:$AN,ReportAndOutcomeHistory!$A97,Medications!$AP:$AP,1,Medications!$AS:$AS,1,INDIRECT("Medications!$"&amp;$D97&amp;":$"&amp;$D97),1)+ROW()/100000,"")</f>
        <v/>
      </c>
    </row>
    <row r="98" spans="1:18" ht="15">
      <c r="A98" t="s">
        <v>41</v>
      </c>
      <c r="B98" t="str">
        <f t="shared" si="22"/>
        <v>Number of medications prescribed to individuals living with dementia for ExpSexualInappropriateness</v>
      </c>
      <c r="C98" t="s">
        <v>260</v>
      </c>
      <c r="D98" t="str">
        <f>IF($S$3,SUBSTITUTE(ADDRESS(1,MATCH($C98,Medications!$1:$1,0),4),"1",""),"")</f>
        <v/>
      </c>
      <c r="E98" t="s">
        <v>466</v>
      </c>
      <c r="F98" t="str">
        <f ca="1">IF(F$5,COUNTIFS(Medications!$AN:$AN,ReportAndOutcomeHistory!$A98,Medications!$AP:$AP,1,Medications!$AS:$AS,1,INDIRECT("Medications!$"&amp;$D98&amp;":$"&amp;$D98),1)+ROW()/100000,"")</f>
        <v/>
      </c>
      <c r="G98" t="str">
        <f ca="1">IF(G$5,COUNTIFS(Medications!$AN:$AN,ReportAndOutcomeHistory!$A98,Medications!$AP:$AP,1,Medications!$AS:$AS,1,INDIRECT("Medications!$"&amp;$D98&amp;":$"&amp;$D98),1)+ROW()/100000,"")</f>
        <v/>
      </c>
      <c r="H98" t="str">
        <f ca="1">IF(H$5,COUNTIFS(Medications!$AN:$AN,ReportAndOutcomeHistory!$A98,Medications!$AP:$AP,1,Medications!$AS:$AS,1,INDIRECT("Medications!$"&amp;$D98&amp;":$"&amp;$D98),1)+ROW()/100000,"")</f>
        <v/>
      </c>
      <c r="I98" t="str">
        <f ca="1">IF(I$5,COUNTIFS(Medications!$AN:$AN,ReportAndOutcomeHistory!$A98,Medications!$AP:$AP,1,Medications!$AS:$AS,1,INDIRECT("Medications!$"&amp;$D98&amp;":$"&amp;$D98),1)+ROW()/100000,"")</f>
        <v/>
      </c>
      <c r="J98" t="str">
        <f ca="1">IF(J$5,COUNTIFS(Medications!$AN:$AN,ReportAndOutcomeHistory!$A98,Medications!$AP:$AP,1,Medications!$AS:$AS,1,INDIRECT("Medications!$"&amp;$D98&amp;":$"&amp;$D98),1)+ROW()/100000,"")</f>
        <v/>
      </c>
      <c r="K98" t="str">
        <f ca="1">IF(K$5,COUNTIFS(Medications!$AN:$AN,ReportAndOutcomeHistory!$A98,Medications!$AP:$AP,1,Medications!$AS:$AS,1,INDIRECT("Medications!$"&amp;$D98&amp;":$"&amp;$D98),1)+ROW()/100000,"")</f>
        <v/>
      </c>
      <c r="L98" t="str">
        <f ca="1">IF(L$5,COUNTIFS(Medications!$AN:$AN,ReportAndOutcomeHistory!$A98,Medications!$AP:$AP,1,Medications!$AS:$AS,1,INDIRECT("Medications!$"&amp;$D98&amp;":$"&amp;$D98),1)+ROW()/100000,"")</f>
        <v/>
      </c>
      <c r="M98" t="str">
        <f ca="1">IF(M$5,COUNTIFS(Medications!$AN:$AN,ReportAndOutcomeHistory!$A98,Medications!$AP:$AP,1,Medications!$AS:$AS,1,INDIRECT("Medications!$"&amp;$D98&amp;":$"&amp;$D98),1)+ROW()/100000,"")</f>
        <v/>
      </c>
      <c r="N98" t="str">
        <f ca="1">IF(N$5,COUNTIFS(Medications!$AN:$AN,ReportAndOutcomeHistory!$A98,Medications!$AP:$AP,1,Medications!$AS:$AS,1,INDIRECT("Medications!$"&amp;$D98&amp;":$"&amp;$D98),1)+ROW()/100000,"")</f>
        <v/>
      </c>
      <c r="O98" t="str">
        <f ca="1">IF(O$5,COUNTIFS(Medications!$AN:$AN,ReportAndOutcomeHistory!$A98,Medications!$AP:$AP,1,Medications!$AS:$AS,1,INDIRECT("Medications!$"&amp;$D98&amp;":$"&amp;$D98),1)+ROW()/100000,"")</f>
        <v/>
      </c>
      <c r="P98" t="str">
        <f ca="1">IF(P$5,COUNTIFS(Medications!$AN:$AN,ReportAndOutcomeHistory!$A98,Medications!$AP:$AP,1,Medications!$AS:$AS,1,INDIRECT("Medications!$"&amp;$D98&amp;":$"&amp;$D98),1)+ROW()/100000,"")</f>
        <v/>
      </c>
      <c r="Q98" t="str">
        <f ca="1">IF(Q$5,COUNTIFS(Medications!$AN:$AN,ReportAndOutcomeHistory!$A98,Medications!$AP:$AP,1,Medications!$AS:$AS,1,INDIRECT("Medications!$"&amp;$D98&amp;":$"&amp;$D98),1)+ROW()/100000,"")</f>
        <v/>
      </c>
      <c r="R98" t="str">
        <f ca="1">IF(R$5,COUNTIFS(Medications!$AN:$AN,ReportAndOutcomeHistory!$A98,Medications!$AP:$AP,1,Medications!$AS:$AS,1,INDIRECT("Medications!$"&amp;$D98&amp;":$"&amp;$D98),1)+ROW()/100000,"")</f>
        <v/>
      </c>
    </row>
    <row r="99" spans="1:18" ht="15">
      <c r="A99" t="s">
        <v>41</v>
      </c>
      <c r="B99" t="str">
        <f t="shared" si="22"/>
        <v>Number of medications prescribed to individuals living with dementia for ExpDelusions</v>
      </c>
      <c r="C99" t="s">
        <v>261</v>
      </c>
      <c r="D99" t="str">
        <f>IF($S$3,SUBSTITUTE(ADDRESS(1,MATCH($C99,Medications!$1:$1,0),4),"1",""),"")</f>
        <v/>
      </c>
      <c r="E99" t="s">
        <v>466</v>
      </c>
      <c r="F99" t="str">
        <f ca="1">IF(F$5,COUNTIFS(Medications!$AN:$AN,ReportAndOutcomeHistory!$A99,Medications!$AP:$AP,1,Medications!$AS:$AS,1,INDIRECT("Medications!$"&amp;$D99&amp;":$"&amp;$D99),1)+ROW()/100000,"")</f>
        <v/>
      </c>
      <c r="G99" t="str">
        <f ca="1">IF(G$5,COUNTIFS(Medications!$AN:$AN,ReportAndOutcomeHistory!$A99,Medications!$AP:$AP,1,Medications!$AS:$AS,1,INDIRECT("Medications!$"&amp;$D99&amp;":$"&amp;$D99),1)+ROW()/100000,"")</f>
        <v/>
      </c>
      <c r="H99" t="str">
        <f ca="1">IF(H$5,COUNTIFS(Medications!$AN:$AN,ReportAndOutcomeHistory!$A99,Medications!$AP:$AP,1,Medications!$AS:$AS,1,INDIRECT("Medications!$"&amp;$D99&amp;":$"&amp;$D99),1)+ROW()/100000,"")</f>
        <v/>
      </c>
      <c r="I99" t="str">
        <f ca="1">IF(I$5,COUNTIFS(Medications!$AN:$AN,ReportAndOutcomeHistory!$A99,Medications!$AP:$AP,1,Medications!$AS:$AS,1,INDIRECT("Medications!$"&amp;$D99&amp;":$"&amp;$D99),1)+ROW()/100000,"")</f>
        <v/>
      </c>
      <c r="J99" t="str">
        <f ca="1">IF(J$5,COUNTIFS(Medications!$AN:$AN,ReportAndOutcomeHistory!$A99,Medications!$AP:$AP,1,Medications!$AS:$AS,1,INDIRECT("Medications!$"&amp;$D99&amp;":$"&amp;$D99),1)+ROW()/100000,"")</f>
        <v/>
      </c>
      <c r="K99" t="str">
        <f ca="1">IF(K$5,COUNTIFS(Medications!$AN:$AN,ReportAndOutcomeHistory!$A99,Medications!$AP:$AP,1,Medications!$AS:$AS,1,INDIRECT("Medications!$"&amp;$D99&amp;":$"&amp;$D99),1)+ROW()/100000,"")</f>
        <v/>
      </c>
      <c r="L99" t="str">
        <f ca="1">IF(L$5,COUNTIFS(Medications!$AN:$AN,ReportAndOutcomeHistory!$A99,Medications!$AP:$AP,1,Medications!$AS:$AS,1,INDIRECT("Medications!$"&amp;$D99&amp;":$"&amp;$D99),1)+ROW()/100000,"")</f>
        <v/>
      </c>
      <c r="M99" t="str">
        <f ca="1">IF(M$5,COUNTIFS(Medications!$AN:$AN,ReportAndOutcomeHistory!$A99,Medications!$AP:$AP,1,Medications!$AS:$AS,1,INDIRECT("Medications!$"&amp;$D99&amp;":$"&amp;$D99),1)+ROW()/100000,"")</f>
        <v/>
      </c>
      <c r="N99" t="str">
        <f ca="1">IF(N$5,COUNTIFS(Medications!$AN:$AN,ReportAndOutcomeHistory!$A99,Medications!$AP:$AP,1,Medications!$AS:$AS,1,INDIRECT("Medications!$"&amp;$D99&amp;":$"&amp;$D99),1)+ROW()/100000,"")</f>
        <v/>
      </c>
      <c r="O99" t="str">
        <f ca="1">IF(O$5,COUNTIFS(Medications!$AN:$AN,ReportAndOutcomeHistory!$A99,Medications!$AP:$AP,1,Medications!$AS:$AS,1,INDIRECT("Medications!$"&amp;$D99&amp;":$"&amp;$D99),1)+ROW()/100000,"")</f>
        <v/>
      </c>
      <c r="P99" t="str">
        <f ca="1">IF(P$5,COUNTIFS(Medications!$AN:$AN,ReportAndOutcomeHistory!$A99,Medications!$AP:$AP,1,Medications!$AS:$AS,1,INDIRECT("Medications!$"&amp;$D99&amp;":$"&amp;$D99),1)+ROW()/100000,"")</f>
        <v/>
      </c>
      <c r="Q99" t="str">
        <f ca="1">IF(Q$5,COUNTIFS(Medications!$AN:$AN,ReportAndOutcomeHistory!$A99,Medications!$AP:$AP,1,Medications!$AS:$AS,1,INDIRECT("Medications!$"&amp;$D99&amp;":$"&amp;$D99),1)+ROW()/100000,"")</f>
        <v/>
      </c>
      <c r="R99" t="str">
        <f ca="1">IF(R$5,COUNTIFS(Medications!$AN:$AN,ReportAndOutcomeHistory!$A99,Medications!$AP:$AP,1,Medications!$AS:$AS,1,INDIRECT("Medications!$"&amp;$D99&amp;":$"&amp;$D99),1)+ROW()/100000,"")</f>
        <v/>
      </c>
    </row>
    <row r="100" spans="1:18" ht="15">
      <c r="A100" t="s">
        <v>41</v>
      </c>
      <c r="B100" t="str">
        <f t="shared" si="22"/>
        <v>Number of medications prescribed to individuals living with dementia for ExpHallucinations</v>
      </c>
      <c r="C100" t="s">
        <v>262</v>
      </c>
      <c r="D100" t="str">
        <f>IF($S$3,SUBSTITUTE(ADDRESS(1,MATCH($C100,Medications!$1:$1,0),4),"1",""),"")</f>
        <v/>
      </c>
      <c r="E100" t="s">
        <v>466</v>
      </c>
      <c r="F100" t="str">
        <f ca="1">IF(F$5,COUNTIFS(Medications!$AN:$AN,ReportAndOutcomeHistory!$A100,Medications!$AP:$AP,1,Medications!$AS:$AS,1,INDIRECT("Medications!$"&amp;$D100&amp;":$"&amp;$D100),1)+ROW()/100000,"")</f>
        <v/>
      </c>
      <c r="G100" t="str">
        <f ca="1">IF(G$5,COUNTIFS(Medications!$AN:$AN,ReportAndOutcomeHistory!$A100,Medications!$AP:$AP,1,Medications!$AS:$AS,1,INDIRECT("Medications!$"&amp;$D100&amp;":$"&amp;$D100),1)+ROW()/100000,"")</f>
        <v/>
      </c>
      <c r="H100" t="str">
        <f ca="1">IF(H$5,COUNTIFS(Medications!$AN:$AN,ReportAndOutcomeHistory!$A100,Medications!$AP:$AP,1,Medications!$AS:$AS,1,INDIRECT("Medications!$"&amp;$D100&amp;":$"&amp;$D100),1)+ROW()/100000,"")</f>
        <v/>
      </c>
      <c r="I100" t="str">
        <f ca="1">IF(I$5,COUNTIFS(Medications!$AN:$AN,ReportAndOutcomeHistory!$A100,Medications!$AP:$AP,1,Medications!$AS:$AS,1,INDIRECT("Medications!$"&amp;$D100&amp;":$"&amp;$D100),1)+ROW()/100000,"")</f>
        <v/>
      </c>
      <c r="J100" t="str">
        <f ca="1">IF(J$5,COUNTIFS(Medications!$AN:$AN,ReportAndOutcomeHistory!$A100,Medications!$AP:$AP,1,Medications!$AS:$AS,1,INDIRECT("Medications!$"&amp;$D100&amp;":$"&amp;$D100),1)+ROW()/100000,"")</f>
        <v/>
      </c>
      <c r="K100" t="str">
        <f ca="1">IF(K$5,COUNTIFS(Medications!$AN:$AN,ReportAndOutcomeHistory!$A100,Medications!$AP:$AP,1,Medications!$AS:$AS,1,INDIRECT("Medications!$"&amp;$D100&amp;":$"&amp;$D100),1)+ROW()/100000,"")</f>
        <v/>
      </c>
      <c r="L100" t="str">
        <f ca="1">IF(L$5,COUNTIFS(Medications!$AN:$AN,ReportAndOutcomeHistory!$A100,Medications!$AP:$AP,1,Medications!$AS:$AS,1,INDIRECT("Medications!$"&amp;$D100&amp;":$"&amp;$D100),1)+ROW()/100000,"")</f>
        <v/>
      </c>
      <c r="M100" t="str">
        <f ca="1">IF(M$5,COUNTIFS(Medications!$AN:$AN,ReportAndOutcomeHistory!$A100,Medications!$AP:$AP,1,Medications!$AS:$AS,1,INDIRECT("Medications!$"&amp;$D100&amp;":$"&amp;$D100),1)+ROW()/100000,"")</f>
        <v/>
      </c>
      <c r="N100" t="str">
        <f ca="1">IF(N$5,COUNTIFS(Medications!$AN:$AN,ReportAndOutcomeHistory!$A100,Medications!$AP:$AP,1,Medications!$AS:$AS,1,INDIRECT("Medications!$"&amp;$D100&amp;":$"&amp;$D100),1)+ROW()/100000,"")</f>
        <v/>
      </c>
      <c r="O100" t="str">
        <f ca="1">IF(O$5,COUNTIFS(Medications!$AN:$AN,ReportAndOutcomeHistory!$A100,Medications!$AP:$AP,1,Medications!$AS:$AS,1,INDIRECT("Medications!$"&amp;$D100&amp;":$"&amp;$D100),1)+ROW()/100000,"")</f>
        <v/>
      </c>
      <c r="P100" t="str">
        <f ca="1">IF(P$5,COUNTIFS(Medications!$AN:$AN,ReportAndOutcomeHistory!$A100,Medications!$AP:$AP,1,Medications!$AS:$AS,1,INDIRECT("Medications!$"&amp;$D100&amp;":$"&amp;$D100),1)+ROW()/100000,"")</f>
        <v/>
      </c>
      <c r="Q100" t="str">
        <f ca="1">IF(Q$5,COUNTIFS(Medications!$AN:$AN,ReportAndOutcomeHistory!$A100,Medications!$AP:$AP,1,Medications!$AS:$AS,1,INDIRECT("Medications!$"&amp;$D100&amp;":$"&amp;$D100),1)+ROW()/100000,"")</f>
        <v/>
      </c>
      <c r="R100" t="str">
        <f ca="1">IF(R$5,COUNTIFS(Medications!$AN:$AN,ReportAndOutcomeHistory!$A100,Medications!$AP:$AP,1,Medications!$AS:$AS,1,INDIRECT("Medications!$"&amp;$D100&amp;":$"&amp;$D100),1)+ROW()/100000,"")</f>
        <v/>
      </c>
    </row>
    <row r="101" spans="1:18" ht="15">
      <c r="A101" t="s">
        <v>41</v>
      </c>
      <c r="B101" t="str">
        <f t="shared" si="22"/>
        <v>Number of medications prescribed to individuals living with dementia for ExpOther0</v>
      </c>
      <c r="C101" t="s">
        <v>413</v>
      </c>
      <c r="D101" t="str">
        <f>IF($S$3,SUBSTITUTE(ADDRESS(1,MATCH($C101,Medications!$1:$1,0),4),"1",""),"")</f>
        <v/>
      </c>
      <c r="E101" t="s">
        <v>466</v>
      </c>
      <c r="F101" t="str">
        <f ca="1">IF(F$5,COUNTIFS(Medications!$AN:$AN,ReportAndOutcomeHistory!$A101,Medications!$AP:$AP,1,Medications!$AS:$AS,1,INDIRECT("Medications!$"&amp;$D101&amp;":$"&amp;$D101),1),"")</f>
        <v/>
      </c>
      <c r="G101" t="str">
        <f ca="1">IF(G$5,COUNTIFS(Medications!$AN:$AN,ReportAndOutcomeHistory!$A101,Medications!$AP:$AP,1,Medications!$AS:$AS,1,INDIRECT("Medications!$"&amp;$D101&amp;":$"&amp;$D101),1),"")</f>
        <v/>
      </c>
      <c r="H101" t="str">
        <f ca="1">IF(H$5,COUNTIFS(Medications!$AN:$AN,ReportAndOutcomeHistory!$A101,Medications!$AP:$AP,1,Medications!$AS:$AS,1,INDIRECT("Medications!$"&amp;$D101&amp;":$"&amp;$D101),1),"")</f>
        <v/>
      </c>
      <c r="I101" t="str">
        <f ca="1">IF(I$5,COUNTIFS(Medications!$AN:$AN,ReportAndOutcomeHistory!$A101,Medications!$AP:$AP,1,Medications!$AS:$AS,1,INDIRECT("Medications!$"&amp;$D101&amp;":$"&amp;$D101),1),"")</f>
        <v/>
      </c>
      <c r="J101" t="str">
        <f ca="1">IF(J$5,COUNTIFS(Medications!$AN:$AN,ReportAndOutcomeHistory!$A101,Medications!$AP:$AP,1,Medications!$AS:$AS,1,INDIRECT("Medications!$"&amp;$D101&amp;":$"&amp;$D101),1),"")</f>
        <v/>
      </c>
      <c r="K101" t="str">
        <f ca="1">IF(K$5,COUNTIFS(Medications!$AN:$AN,ReportAndOutcomeHistory!$A101,Medications!$AP:$AP,1,Medications!$AS:$AS,1,INDIRECT("Medications!$"&amp;$D101&amp;":$"&amp;$D101),1),"")</f>
        <v/>
      </c>
      <c r="L101" t="str">
        <f ca="1">IF(L$5,COUNTIFS(Medications!$AN:$AN,ReportAndOutcomeHistory!$A101,Medications!$AP:$AP,1,Medications!$AS:$AS,1,INDIRECT("Medications!$"&amp;$D101&amp;":$"&amp;$D101),1),"")</f>
        <v/>
      </c>
      <c r="M101" t="str">
        <f ca="1">IF(M$5,COUNTIFS(Medications!$AN:$AN,ReportAndOutcomeHistory!$A101,Medications!$AP:$AP,1,Medications!$AS:$AS,1,INDIRECT("Medications!$"&amp;$D101&amp;":$"&amp;$D101),1),"")</f>
        <v/>
      </c>
      <c r="N101" t="str">
        <f ca="1">IF(N$5,COUNTIFS(Medications!$AN:$AN,ReportAndOutcomeHistory!$A101,Medications!$AP:$AP,1,Medications!$AS:$AS,1,INDIRECT("Medications!$"&amp;$D101&amp;":$"&amp;$D101),1),"")</f>
        <v/>
      </c>
      <c r="O101" t="str">
        <f ca="1">IF(O$5,COUNTIFS(Medications!$AN:$AN,ReportAndOutcomeHistory!$A101,Medications!$AP:$AP,1,Medications!$AS:$AS,1,INDIRECT("Medications!$"&amp;$D101&amp;":$"&amp;$D101),1),"")</f>
        <v/>
      </c>
      <c r="P101" t="str">
        <f ca="1">IF(P$5,COUNTIFS(Medications!$AN:$AN,ReportAndOutcomeHistory!$A101,Medications!$AP:$AP,1,Medications!$AS:$AS,1,INDIRECT("Medications!$"&amp;$D101&amp;":$"&amp;$D101),1),"")</f>
        <v/>
      </c>
      <c r="Q101" t="str">
        <f ca="1">IF(Q$5,COUNTIFS(Medications!$AN:$AN,ReportAndOutcomeHistory!$A101,Medications!$AP:$AP,1,Medications!$AS:$AS,1,INDIRECT("Medications!$"&amp;$D101&amp;":$"&amp;$D101),1),"")</f>
        <v/>
      </c>
      <c r="R101" t="str">
        <f ca="1">IF(R$5,COUNTIFS(Medications!$AN:$AN,ReportAndOutcomeHistory!$A101,Medications!$AP:$AP,1,Medications!$AS:$AS,1,INDIRECT("Medications!$"&amp;$D101&amp;":$"&amp;$D101),1),"")</f>
        <v/>
      </c>
    </row>
    <row r="102" spans="1:18" ht="15">
      <c r="A102" t="s">
        <v>41</v>
      </c>
      <c r="B102" t="str">
        <f t="shared" si="22"/>
        <v>Number of medications prescribed to individuals living with dementia for ExpOther1</v>
      </c>
      <c r="C102" t="s">
        <v>414</v>
      </c>
      <c r="D102" t="str">
        <f>IF($S$3,SUBSTITUTE(ADDRESS(1,MATCH($C102,Medications!$1:$1,0),4),"1",""),"")</f>
        <v/>
      </c>
      <c r="E102" t="s">
        <v>466</v>
      </c>
      <c r="F102" t="str">
        <f ca="1">IF(F$5,COUNTIFS(Medications!$AN:$AN,ReportAndOutcomeHistory!$A102,Medications!$AP:$AP,1,Medications!$AS:$AS,1,INDIRECT("Medications!$"&amp;$D102&amp;":$"&amp;$D102),1),"")</f>
        <v/>
      </c>
      <c r="G102" t="str">
        <f ca="1">IF(G$5,COUNTIFS(Medications!$AN:$AN,ReportAndOutcomeHistory!$A102,Medications!$AP:$AP,1,Medications!$AS:$AS,1,INDIRECT("Medications!$"&amp;$D102&amp;":$"&amp;$D102),1),"")</f>
        <v/>
      </c>
      <c r="H102" t="str">
        <f ca="1">IF(H$5,COUNTIFS(Medications!$AN:$AN,ReportAndOutcomeHistory!$A102,Medications!$AP:$AP,1,Medications!$AS:$AS,1,INDIRECT("Medications!$"&amp;$D102&amp;":$"&amp;$D102),1),"")</f>
        <v/>
      </c>
      <c r="I102" t="str">
        <f ca="1">IF(I$5,COUNTIFS(Medications!$AN:$AN,ReportAndOutcomeHistory!$A102,Medications!$AP:$AP,1,Medications!$AS:$AS,1,INDIRECT("Medications!$"&amp;$D102&amp;":$"&amp;$D102),1),"")</f>
        <v/>
      </c>
      <c r="J102" t="str">
        <f ca="1">IF(J$5,COUNTIFS(Medications!$AN:$AN,ReportAndOutcomeHistory!$A102,Medications!$AP:$AP,1,Medications!$AS:$AS,1,INDIRECT("Medications!$"&amp;$D102&amp;":$"&amp;$D102),1),"")</f>
        <v/>
      </c>
      <c r="K102" t="str">
        <f ca="1">IF(K$5,COUNTIFS(Medications!$AN:$AN,ReportAndOutcomeHistory!$A102,Medications!$AP:$AP,1,Medications!$AS:$AS,1,INDIRECT("Medications!$"&amp;$D102&amp;":$"&amp;$D102),1),"")</f>
        <v/>
      </c>
      <c r="L102" t="str">
        <f ca="1">IF(L$5,COUNTIFS(Medications!$AN:$AN,ReportAndOutcomeHistory!$A102,Medications!$AP:$AP,1,Medications!$AS:$AS,1,INDIRECT("Medications!$"&amp;$D102&amp;":$"&amp;$D102),1),"")</f>
        <v/>
      </c>
      <c r="M102" t="str">
        <f ca="1">IF(M$5,COUNTIFS(Medications!$AN:$AN,ReportAndOutcomeHistory!$A102,Medications!$AP:$AP,1,Medications!$AS:$AS,1,INDIRECT("Medications!$"&amp;$D102&amp;":$"&amp;$D102),1),"")</f>
        <v/>
      </c>
      <c r="N102" t="str">
        <f ca="1">IF(N$5,COUNTIFS(Medications!$AN:$AN,ReportAndOutcomeHistory!$A102,Medications!$AP:$AP,1,Medications!$AS:$AS,1,INDIRECT("Medications!$"&amp;$D102&amp;":$"&amp;$D102),1),"")</f>
        <v/>
      </c>
      <c r="O102" t="str">
        <f ca="1">IF(O$5,COUNTIFS(Medications!$AN:$AN,ReportAndOutcomeHistory!$A102,Medications!$AP:$AP,1,Medications!$AS:$AS,1,INDIRECT("Medications!$"&amp;$D102&amp;":$"&amp;$D102),1),"")</f>
        <v/>
      </c>
      <c r="P102" t="str">
        <f ca="1">IF(P$5,COUNTIFS(Medications!$AN:$AN,ReportAndOutcomeHistory!$A102,Medications!$AP:$AP,1,Medications!$AS:$AS,1,INDIRECT("Medications!$"&amp;$D102&amp;":$"&amp;$D102),1),"")</f>
        <v/>
      </c>
      <c r="Q102" t="str">
        <f ca="1">IF(Q$5,COUNTIFS(Medications!$AN:$AN,ReportAndOutcomeHistory!$A102,Medications!$AP:$AP,1,Medications!$AS:$AS,1,INDIRECT("Medications!$"&amp;$D102&amp;":$"&amp;$D102),1),"")</f>
        <v/>
      </c>
      <c r="R102" t="str">
        <f ca="1">IF(R$5,COUNTIFS(Medications!$AN:$AN,ReportAndOutcomeHistory!$A102,Medications!$AP:$AP,1,Medications!$AS:$AS,1,INDIRECT("Medications!$"&amp;$D102&amp;":$"&amp;$D102),1),"")</f>
        <v/>
      </c>
    </row>
    <row r="103" spans="1:18" ht="15">
      <c r="A103" t="s">
        <v>41</v>
      </c>
      <c r="B103" t="str">
        <f t="shared" si="22"/>
        <v>Number of medications prescribed to individuals living with dementia for ExpOther2</v>
      </c>
      <c r="C103" t="s">
        <v>415</v>
      </c>
      <c r="D103" t="str">
        <f>IF($S$3,SUBSTITUTE(ADDRESS(1,MATCH($C103,Medications!$1:$1,0),4),"1",""),"")</f>
        <v/>
      </c>
      <c r="E103" t="s">
        <v>466</v>
      </c>
      <c r="F103" t="str">
        <f ca="1">IF(F$5,COUNTIFS(Medications!$AN:$AN,ReportAndOutcomeHistory!$A103,Medications!$AP:$AP,1,Medications!$AS:$AS,1,INDIRECT("Medications!$"&amp;$D103&amp;":$"&amp;$D103),1),"")</f>
        <v/>
      </c>
      <c r="G103" t="str">
        <f ca="1">IF(G$5,COUNTIFS(Medications!$AN:$AN,ReportAndOutcomeHistory!$A103,Medications!$AP:$AP,1,Medications!$AS:$AS,1,INDIRECT("Medications!$"&amp;$D103&amp;":$"&amp;$D103),1),"")</f>
        <v/>
      </c>
      <c r="H103" t="str">
        <f ca="1">IF(H$5,COUNTIFS(Medications!$AN:$AN,ReportAndOutcomeHistory!$A103,Medications!$AP:$AP,1,Medications!$AS:$AS,1,INDIRECT("Medications!$"&amp;$D103&amp;":$"&amp;$D103),1),"")</f>
        <v/>
      </c>
      <c r="I103" t="str">
        <f ca="1">IF(I$5,COUNTIFS(Medications!$AN:$AN,ReportAndOutcomeHistory!$A103,Medications!$AP:$AP,1,Medications!$AS:$AS,1,INDIRECT("Medications!$"&amp;$D103&amp;":$"&amp;$D103),1),"")</f>
        <v/>
      </c>
      <c r="J103" t="str">
        <f ca="1">IF(J$5,COUNTIFS(Medications!$AN:$AN,ReportAndOutcomeHistory!$A103,Medications!$AP:$AP,1,Medications!$AS:$AS,1,INDIRECT("Medications!$"&amp;$D103&amp;":$"&amp;$D103),1),"")</f>
        <v/>
      </c>
      <c r="K103" t="str">
        <f ca="1">IF(K$5,COUNTIFS(Medications!$AN:$AN,ReportAndOutcomeHistory!$A103,Medications!$AP:$AP,1,Medications!$AS:$AS,1,INDIRECT("Medications!$"&amp;$D103&amp;":$"&amp;$D103),1),"")</f>
        <v/>
      </c>
      <c r="L103" t="str">
        <f ca="1">IF(L$5,COUNTIFS(Medications!$AN:$AN,ReportAndOutcomeHistory!$A103,Medications!$AP:$AP,1,Medications!$AS:$AS,1,INDIRECT("Medications!$"&amp;$D103&amp;":$"&amp;$D103),1),"")</f>
        <v/>
      </c>
      <c r="M103" t="str">
        <f ca="1">IF(M$5,COUNTIFS(Medications!$AN:$AN,ReportAndOutcomeHistory!$A103,Medications!$AP:$AP,1,Medications!$AS:$AS,1,INDIRECT("Medications!$"&amp;$D103&amp;":$"&amp;$D103),1),"")</f>
        <v/>
      </c>
      <c r="N103" t="str">
        <f ca="1">IF(N$5,COUNTIFS(Medications!$AN:$AN,ReportAndOutcomeHistory!$A103,Medications!$AP:$AP,1,Medications!$AS:$AS,1,INDIRECT("Medications!$"&amp;$D103&amp;":$"&amp;$D103),1),"")</f>
        <v/>
      </c>
      <c r="O103" t="str">
        <f ca="1">IF(O$5,COUNTIFS(Medications!$AN:$AN,ReportAndOutcomeHistory!$A103,Medications!$AP:$AP,1,Medications!$AS:$AS,1,INDIRECT("Medications!$"&amp;$D103&amp;":$"&amp;$D103),1),"")</f>
        <v/>
      </c>
      <c r="P103" t="str">
        <f ca="1">IF(P$5,COUNTIFS(Medications!$AN:$AN,ReportAndOutcomeHistory!$A103,Medications!$AP:$AP,1,Medications!$AS:$AS,1,INDIRECT("Medications!$"&amp;$D103&amp;":$"&amp;$D103),1),"")</f>
        <v/>
      </c>
      <c r="Q103" t="str">
        <f ca="1">IF(Q$5,COUNTIFS(Medications!$AN:$AN,ReportAndOutcomeHistory!$A103,Medications!$AP:$AP,1,Medications!$AS:$AS,1,INDIRECT("Medications!$"&amp;$D103&amp;":$"&amp;$D103),1),"")</f>
        <v/>
      </c>
      <c r="R103" t="str">
        <f ca="1">IF(R$5,COUNTIFS(Medications!$AN:$AN,ReportAndOutcomeHistory!$A103,Medications!$AP:$AP,1,Medications!$AS:$AS,1,INDIRECT("Medications!$"&amp;$D103&amp;":$"&amp;$D103),1),"")</f>
        <v/>
      </c>
    </row>
    <row r="104" spans="1:18" ht="15">
      <c r="A104" t="s">
        <v>41</v>
      </c>
      <c r="B104" t="str">
        <f>"Rank "&amp;C104</f>
        <v>Rank ExpWalking</v>
      </c>
      <c r="C104" t="str">
        <f>C82</f>
        <v>ExpWalking</v>
      </c>
      <c r="E104" t="s">
        <v>466</v>
      </c>
      <c r="F104" t="str">
        <f aca="true" t="shared" si="23" ref="F104:Q119">IF(F$5,_xlfn.RANK.AVG(F82,F$82:F$100),"")</f>
        <v/>
      </c>
      <c r="G104" t="str">
        <f t="shared" si="23"/>
        <v/>
      </c>
      <c r="H104" t="str">
        <f t="shared" si="23"/>
        <v/>
      </c>
      <c r="I104" t="str">
        <f t="shared" si="23"/>
        <v/>
      </c>
      <c r="J104" t="str">
        <f t="shared" si="23"/>
        <v/>
      </c>
      <c r="K104" t="str">
        <f t="shared" si="23"/>
        <v/>
      </c>
      <c r="L104" t="str">
        <f t="shared" si="23"/>
        <v/>
      </c>
      <c r="M104" t="str">
        <f t="shared" si="23"/>
        <v/>
      </c>
      <c r="N104" t="str">
        <f t="shared" si="23"/>
        <v/>
      </c>
      <c r="O104" t="str">
        <f t="shared" si="23"/>
        <v/>
      </c>
      <c r="P104" t="str">
        <f t="shared" si="23"/>
        <v/>
      </c>
      <c r="Q104" t="str">
        <f t="shared" si="23"/>
        <v/>
      </c>
      <c r="R104" t="str">
        <f aca="true" t="shared" si="24" ref="R104:R122">IF(R$5,_xlfn.RANK.AVG(R82,R$82:R$100),"")</f>
        <v/>
      </c>
    </row>
    <row r="105" spans="1:18" ht="15">
      <c r="A105" t="s">
        <v>41</v>
      </c>
      <c r="B105" t="str">
        <f aca="true" t="shared" si="25" ref="B105:B122">"Rank "&amp;C105</f>
        <v>Rank ExpWandering</v>
      </c>
      <c r="C105" t="str">
        <f aca="true" t="shared" si="26" ref="C105:C122">C83</f>
        <v>ExpWandering</v>
      </c>
      <c r="E105" t="s">
        <v>466</v>
      </c>
      <c r="F105" t="str">
        <f t="shared" si="23"/>
        <v/>
      </c>
      <c r="G105" t="str">
        <f t="shared" si="23"/>
        <v/>
      </c>
      <c r="H105" t="str">
        <f t="shared" si="23"/>
        <v/>
      </c>
      <c r="I105" t="str">
        <f t="shared" si="23"/>
        <v/>
      </c>
      <c r="J105" t="str">
        <f t="shared" si="23"/>
        <v/>
      </c>
      <c r="K105" t="str">
        <f t="shared" si="23"/>
        <v/>
      </c>
      <c r="L105" t="str">
        <f t="shared" si="23"/>
        <v/>
      </c>
      <c r="M105" t="str">
        <f t="shared" si="23"/>
        <v/>
      </c>
      <c r="N105" t="str">
        <f t="shared" si="23"/>
        <v/>
      </c>
      <c r="O105" t="str">
        <f t="shared" si="23"/>
        <v/>
      </c>
      <c r="P105" t="str">
        <f t="shared" si="23"/>
        <v/>
      </c>
      <c r="Q105" t="str">
        <f t="shared" si="23"/>
        <v/>
      </c>
      <c r="R105" t="str">
        <f t="shared" si="24"/>
        <v/>
      </c>
    </row>
    <row r="106" spans="1:18" ht="15">
      <c r="A106" t="s">
        <v>41</v>
      </c>
      <c r="B106" t="str">
        <f t="shared" si="25"/>
        <v>Rank ExpPacing</v>
      </c>
      <c r="C106" t="str">
        <f t="shared" si="26"/>
        <v>ExpPacing</v>
      </c>
      <c r="E106" t="s">
        <v>466</v>
      </c>
      <c r="F106" t="str">
        <f t="shared" si="23"/>
        <v/>
      </c>
      <c r="G106" t="str">
        <f t="shared" si="23"/>
        <v/>
      </c>
      <c r="H106" t="str">
        <f t="shared" si="23"/>
        <v/>
      </c>
      <c r="I106" t="str">
        <f t="shared" si="23"/>
        <v/>
      </c>
      <c r="J106" t="str">
        <f t="shared" si="23"/>
        <v/>
      </c>
      <c r="K106" t="str">
        <f t="shared" si="23"/>
        <v/>
      </c>
      <c r="L106" t="str">
        <f t="shared" si="23"/>
        <v/>
      </c>
      <c r="M106" t="str">
        <f t="shared" si="23"/>
        <v/>
      </c>
      <c r="N106" t="str">
        <f t="shared" si="23"/>
        <v/>
      </c>
      <c r="O106" t="str">
        <f t="shared" si="23"/>
        <v/>
      </c>
      <c r="P106" t="str">
        <f t="shared" si="23"/>
        <v/>
      </c>
      <c r="Q106" t="str">
        <f t="shared" si="23"/>
        <v/>
      </c>
      <c r="R106" t="str">
        <f t="shared" si="24"/>
        <v/>
      </c>
    </row>
    <row r="107" spans="1:18" ht="15">
      <c r="A107" t="s">
        <v>41</v>
      </c>
      <c r="B107" t="str">
        <f t="shared" si="25"/>
        <v>Rank ExpSearching</v>
      </c>
      <c r="C107" t="str">
        <f t="shared" si="26"/>
        <v>ExpSearching</v>
      </c>
      <c r="E107" t="s">
        <v>466</v>
      </c>
      <c r="F107" t="str">
        <f t="shared" si="23"/>
        <v/>
      </c>
      <c r="G107" t="str">
        <f t="shared" si="23"/>
        <v/>
      </c>
      <c r="H107" t="str">
        <f t="shared" si="23"/>
        <v/>
      </c>
      <c r="I107" t="str">
        <f t="shared" si="23"/>
        <v/>
      </c>
      <c r="J107" t="str">
        <f t="shared" si="23"/>
        <v/>
      </c>
      <c r="K107" t="str">
        <f t="shared" si="23"/>
        <v/>
      </c>
      <c r="L107" t="str">
        <f t="shared" si="23"/>
        <v/>
      </c>
      <c r="M107" t="str">
        <f t="shared" si="23"/>
        <v/>
      </c>
      <c r="N107" t="str">
        <f t="shared" si="23"/>
        <v/>
      </c>
      <c r="O107" t="str">
        <f t="shared" si="23"/>
        <v/>
      </c>
      <c r="P107" t="str">
        <f t="shared" si="23"/>
        <v/>
      </c>
      <c r="Q107" t="str">
        <f t="shared" si="23"/>
        <v/>
      </c>
      <c r="R107" t="str">
        <f t="shared" si="24"/>
        <v/>
      </c>
    </row>
    <row r="108" spans="1:18" ht="15">
      <c r="A108" t="s">
        <v>41</v>
      </c>
      <c r="B108" t="str">
        <f t="shared" si="25"/>
        <v>Rank ExpRepetitiveVocalizations</v>
      </c>
      <c r="C108" t="str">
        <f t="shared" si="26"/>
        <v>ExpRepetitiveVocalizations</v>
      </c>
      <c r="E108" t="s">
        <v>466</v>
      </c>
      <c r="F108" t="str">
        <f t="shared" si="23"/>
        <v/>
      </c>
      <c r="G108" t="str">
        <f t="shared" si="23"/>
        <v/>
      </c>
      <c r="H108" t="str">
        <f t="shared" si="23"/>
        <v/>
      </c>
      <c r="I108" t="str">
        <f t="shared" si="23"/>
        <v/>
      </c>
      <c r="J108" t="str">
        <f t="shared" si="23"/>
        <v/>
      </c>
      <c r="K108" t="str">
        <f t="shared" si="23"/>
        <v/>
      </c>
      <c r="L108" t="str">
        <f t="shared" si="23"/>
        <v/>
      </c>
      <c r="M108" t="str">
        <f t="shared" si="23"/>
        <v/>
      </c>
      <c r="N108" t="str">
        <f t="shared" si="23"/>
        <v/>
      </c>
      <c r="O108" t="str">
        <f t="shared" si="23"/>
        <v/>
      </c>
      <c r="P108" t="str">
        <f t="shared" si="23"/>
        <v/>
      </c>
      <c r="Q108" t="str">
        <f t="shared" si="23"/>
        <v/>
      </c>
      <c r="R108" t="str">
        <f t="shared" si="24"/>
        <v/>
      </c>
    </row>
    <row r="109" spans="1:18" ht="15">
      <c r="A109" t="s">
        <v>41</v>
      </c>
      <c r="B109" t="str">
        <f t="shared" si="25"/>
        <v>Rank ExpRestlessness</v>
      </c>
      <c r="C109" t="str">
        <f t="shared" si="26"/>
        <v>ExpRestlessness</v>
      </c>
      <c r="E109" t="s">
        <v>466</v>
      </c>
      <c r="F109" t="str">
        <f t="shared" si="23"/>
        <v/>
      </c>
      <c r="G109" t="str">
        <f t="shared" si="23"/>
        <v/>
      </c>
      <c r="H109" t="str">
        <f t="shared" si="23"/>
        <v/>
      </c>
      <c r="I109" t="str">
        <f t="shared" si="23"/>
        <v/>
      </c>
      <c r="J109" t="str">
        <f t="shared" si="23"/>
        <v/>
      </c>
      <c r="K109" t="str">
        <f t="shared" si="23"/>
        <v/>
      </c>
      <c r="L109" t="str">
        <f t="shared" si="23"/>
        <v/>
      </c>
      <c r="M109" t="str">
        <f t="shared" si="23"/>
        <v/>
      </c>
      <c r="N109" t="str">
        <f t="shared" si="23"/>
        <v/>
      </c>
      <c r="O109" t="str">
        <f t="shared" si="23"/>
        <v/>
      </c>
      <c r="P109" t="str">
        <f t="shared" si="23"/>
        <v/>
      </c>
      <c r="Q109" t="str">
        <f t="shared" si="23"/>
        <v/>
      </c>
      <c r="R109" t="str">
        <f t="shared" si="24"/>
        <v/>
      </c>
    </row>
    <row r="110" spans="1:18" ht="15">
      <c r="A110" t="s">
        <v>41</v>
      </c>
      <c r="B110" t="str">
        <f t="shared" si="25"/>
        <v>Rank ExpDifferentPerceptions</v>
      </c>
      <c r="C110" t="str">
        <f t="shared" si="26"/>
        <v>ExpDifferentPerceptions</v>
      </c>
      <c r="E110" t="s">
        <v>466</v>
      </c>
      <c r="F110" t="str">
        <f t="shared" si="23"/>
        <v/>
      </c>
      <c r="G110" t="str">
        <f t="shared" si="23"/>
        <v/>
      </c>
      <c r="H110" t="str">
        <f t="shared" si="23"/>
        <v/>
      </c>
      <c r="I110" t="str">
        <f t="shared" si="23"/>
        <v/>
      </c>
      <c r="J110" t="str">
        <f t="shared" si="23"/>
        <v/>
      </c>
      <c r="K110" t="str">
        <f t="shared" si="23"/>
        <v/>
      </c>
      <c r="L110" t="str">
        <f t="shared" si="23"/>
        <v/>
      </c>
      <c r="M110" t="str">
        <f t="shared" si="23"/>
        <v/>
      </c>
      <c r="N110" t="str">
        <f t="shared" si="23"/>
        <v/>
      </c>
      <c r="O110" t="str">
        <f t="shared" si="23"/>
        <v/>
      </c>
      <c r="P110" t="str">
        <f t="shared" si="23"/>
        <v/>
      </c>
      <c r="Q110" t="str">
        <f t="shared" si="23"/>
        <v/>
      </c>
      <c r="R110" t="str">
        <f t="shared" si="24"/>
        <v/>
      </c>
    </row>
    <row r="111" spans="1:18" ht="15">
      <c r="A111" t="s">
        <v>41</v>
      </c>
      <c r="B111" t="str">
        <f t="shared" si="25"/>
        <v>Rank ExpResistingCare</v>
      </c>
      <c r="C111" t="str">
        <f t="shared" si="26"/>
        <v>ExpResistingCare</v>
      </c>
      <c r="E111" t="s">
        <v>466</v>
      </c>
      <c r="F111" t="str">
        <f t="shared" si="23"/>
        <v/>
      </c>
      <c r="G111" t="str">
        <f t="shared" si="23"/>
        <v/>
      </c>
      <c r="H111" t="str">
        <f t="shared" si="23"/>
        <v/>
      </c>
      <c r="I111" t="str">
        <f t="shared" si="23"/>
        <v/>
      </c>
      <c r="J111" t="str">
        <f t="shared" si="23"/>
        <v/>
      </c>
      <c r="K111" t="str">
        <f t="shared" si="23"/>
        <v/>
      </c>
      <c r="L111" t="str">
        <f t="shared" si="23"/>
        <v/>
      </c>
      <c r="M111" t="str">
        <f t="shared" si="23"/>
        <v/>
      </c>
      <c r="N111" t="str">
        <f t="shared" si="23"/>
        <v/>
      </c>
      <c r="O111" t="str">
        <f t="shared" si="23"/>
        <v/>
      </c>
      <c r="P111" t="str">
        <f t="shared" si="23"/>
        <v/>
      </c>
      <c r="Q111" t="str">
        <f t="shared" si="23"/>
        <v/>
      </c>
      <c r="R111" t="str">
        <f t="shared" si="24"/>
        <v/>
      </c>
    </row>
    <row r="112" spans="1:18" ht="15">
      <c r="A112" t="s">
        <v>41</v>
      </c>
      <c r="B112" t="str">
        <f t="shared" si="25"/>
        <v>Rank ExpExitSeeking</v>
      </c>
      <c r="C112" t="str">
        <f t="shared" si="26"/>
        <v>ExpExitSeeking</v>
      </c>
      <c r="E112" t="s">
        <v>466</v>
      </c>
      <c r="F112" t="str">
        <f t="shared" si="23"/>
        <v/>
      </c>
      <c r="G112" t="str">
        <f t="shared" si="23"/>
        <v/>
      </c>
      <c r="H112" t="str">
        <f t="shared" si="23"/>
        <v/>
      </c>
      <c r="I112" t="str">
        <f t="shared" si="23"/>
        <v/>
      </c>
      <c r="J112" t="str">
        <f t="shared" si="23"/>
        <v/>
      </c>
      <c r="K112" t="str">
        <f t="shared" si="23"/>
        <v/>
      </c>
      <c r="L112" t="str">
        <f t="shared" si="23"/>
        <v/>
      </c>
      <c r="M112" t="str">
        <f t="shared" si="23"/>
        <v/>
      </c>
      <c r="N112" t="str">
        <f t="shared" si="23"/>
        <v/>
      </c>
      <c r="O112" t="str">
        <f t="shared" si="23"/>
        <v/>
      </c>
      <c r="P112" t="str">
        <f t="shared" si="23"/>
        <v/>
      </c>
      <c r="Q112" t="str">
        <f t="shared" si="23"/>
        <v/>
      </c>
      <c r="R112" t="str">
        <f t="shared" si="24"/>
        <v/>
      </c>
    </row>
    <row r="113" spans="1:18" ht="15">
      <c r="A113" t="s">
        <v>41</v>
      </c>
      <c r="B113" t="str">
        <f t="shared" si="25"/>
        <v>Rank ExpCrying</v>
      </c>
      <c r="C113" t="str">
        <f t="shared" si="26"/>
        <v>ExpCrying</v>
      </c>
      <c r="E113" t="s">
        <v>466</v>
      </c>
      <c r="F113" t="str">
        <f t="shared" si="23"/>
        <v/>
      </c>
      <c r="G113" t="str">
        <f t="shared" si="23"/>
        <v/>
      </c>
      <c r="H113" t="str">
        <f t="shared" si="23"/>
        <v/>
      </c>
      <c r="I113" t="str">
        <f t="shared" si="23"/>
        <v/>
      </c>
      <c r="J113" t="str">
        <f t="shared" si="23"/>
        <v/>
      </c>
      <c r="K113" t="str">
        <f t="shared" si="23"/>
        <v/>
      </c>
      <c r="L113" t="str">
        <f t="shared" si="23"/>
        <v/>
      </c>
      <c r="M113" t="str">
        <f t="shared" si="23"/>
        <v/>
      </c>
      <c r="N113" t="str">
        <f t="shared" si="23"/>
        <v/>
      </c>
      <c r="O113" t="str">
        <f t="shared" si="23"/>
        <v/>
      </c>
      <c r="P113" t="str">
        <f t="shared" si="23"/>
        <v/>
      </c>
      <c r="Q113" t="str">
        <f t="shared" si="23"/>
        <v/>
      </c>
      <c r="R113" t="str">
        <f t="shared" si="24"/>
        <v/>
      </c>
    </row>
    <row r="114" spans="1:18" ht="15">
      <c r="A114" t="s">
        <v>41</v>
      </c>
      <c r="B114" t="str">
        <f t="shared" si="25"/>
        <v>Rank ExpSlumping</v>
      </c>
      <c r="C114" t="str">
        <f t="shared" si="26"/>
        <v>ExpSlumping</v>
      </c>
      <c r="E114" t="s">
        <v>466</v>
      </c>
      <c r="F114" t="str">
        <f t="shared" si="23"/>
        <v/>
      </c>
      <c r="G114" t="str">
        <f t="shared" si="23"/>
        <v/>
      </c>
      <c r="H114" t="str">
        <f t="shared" si="23"/>
        <v/>
      </c>
      <c r="I114" t="str">
        <f t="shared" si="23"/>
        <v/>
      </c>
      <c r="J114" t="str">
        <f t="shared" si="23"/>
        <v/>
      </c>
      <c r="K114" t="str">
        <f t="shared" si="23"/>
        <v/>
      </c>
      <c r="L114" t="str">
        <f t="shared" si="23"/>
        <v/>
      </c>
      <c r="M114" t="str">
        <f t="shared" si="23"/>
        <v/>
      </c>
      <c r="N114" t="str">
        <f t="shared" si="23"/>
        <v/>
      </c>
      <c r="O114" t="str">
        <f t="shared" si="23"/>
        <v/>
      </c>
      <c r="P114" t="str">
        <f t="shared" si="23"/>
        <v/>
      </c>
      <c r="Q114" t="str">
        <f t="shared" si="23"/>
        <v/>
      </c>
      <c r="R114" t="str">
        <f t="shared" si="24"/>
        <v/>
      </c>
    </row>
    <row r="115" spans="1:18" ht="15">
      <c r="A115" t="s">
        <v>41</v>
      </c>
      <c r="B115" t="str">
        <f t="shared" si="25"/>
        <v>Rank ExpAnxiety</v>
      </c>
      <c r="C115" t="str">
        <f t="shared" si="26"/>
        <v>ExpAnxiety</v>
      </c>
      <c r="E115" t="s">
        <v>466</v>
      </c>
      <c r="F115" t="str">
        <f t="shared" si="23"/>
        <v/>
      </c>
      <c r="G115" t="str">
        <f t="shared" si="23"/>
        <v/>
      </c>
      <c r="H115" t="str">
        <f t="shared" si="23"/>
        <v/>
      </c>
      <c r="I115" t="str">
        <f t="shared" si="23"/>
        <v/>
      </c>
      <c r="J115" t="str">
        <f t="shared" si="23"/>
        <v/>
      </c>
      <c r="K115" t="str">
        <f t="shared" si="23"/>
        <v/>
      </c>
      <c r="L115" t="str">
        <f t="shared" si="23"/>
        <v/>
      </c>
      <c r="M115" t="str">
        <f t="shared" si="23"/>
        <v/>
      </c>
      <c r="N115" t="str">
        <f t="shared" si="23"/>
        <v/>
      </c>
      <c r="O115" t="str">
        <f t="shared" si="23"/>
        <v/>
      </c>
      <c r="P115" t="str">
        <f t="shared" si="23"/>
        <v/>
      </c>
      <c r="Q115" t="str">
        <f t="shared" si="23"/>
        <v/>
      </c>
      <c r="R115" t="str">
        <f t="shared" si="24"/>
        <v/>
      </c>
    </row>
    <row r="116" spans="1:18" ht="15">
      <c r="A116" t="s">
        <v>41</v>
      </c>
      <c r="B116" t="str">
        <f t="shared" si="25"/>
        <v>Rank ExpVerbalAgitation</v>
      </c>
      <c r="C116" t="str">
        <f t="shared" si="26"/>
        <v>ExpVerbalAgitation</v>
      </c>
      <c r="E116" t="s">
        <v>466</v>
      </c>
      <c r="F116" t="str">
        <f t="shared" si="23"/>
        <v/>
      </c>
      <c r="G116" t="str">
        <f t="shared" si="23"/>
        <v/>
      </c>
      <c r="H116" t="str">
        <f t="shared" si="23"/>
        <v/>
      </c>
      <c r="I116" t="str">
        <f t="shared" si="23"/>
        <v/>
      </c>
      <c r="J116" t="str">
        <f t="shared" si="23"/>
        <v/>
      </c>
      <c r="K116" t="str">
        <f t="shared" si="23"/>
        <v/>
      </c>
      <c r="L116" t="str">
        <f t="shared" si="23"/>
        <v/>
      </c>
      <c r="M116" t="str">
        <f t="shared" si="23"/>
        <v/>
      </c>
      <c r="N116" t="str">
        <f t="shared" si="23"/>
        <v/>
      </c>
      <c r="O116" t="str">
        <f t="shared" si="23"/>
        <v/>
      </c>
      <c r="P116" t="str">
        <f t="shared" si="23"/>
        <v/>
      </c>
      <c r="Q116" t="str">
        <f t="shared" si="23"/>
        <v/>
      </c>
      <c r="R116" t="str">
        <f t="shared" si="24"/>
        <v/>
      </c>
    </row>
    <row r="117" spans="1:18" ht="15">
      <c r="A117" t="s">
        <v>41</v>
      </c>
      <c r="B117" t="str">
        <f t="shared" si="25"/>
        <v>Rank ExpPhysicalAgitation</v>
      </c>
      <c r="C117" t="str">
        <f t="shared" si="26"/>
        <v>ExpPhysicalAgitation</v>
      </c>
      <c r="E117" t="s">
        <v>466</v>
      </c>
      <c r="F117" t="str">
        <f t="shared" si="23"/>
        <v/>
      </c>
      <c r="G117" t="str">
        <f t="shared" si="23"/>
        <v/>
      </c>
      <c r="H117" t="str">
        <f t="shared" si="23"/>
        <v/>
      </c>
      <c r="I117" t="str">
        <f t="shared" si="23"/>
        <v/>
      </c>
      <c r="J117" t="str">
        <f t="shared" si="23"/>
        <v/>
      </c>
      <c r="K117" t="str">
        <f t="shared" si="23"/>
        <v/>
      </c>
      <c r="L117" t="str">
        <f t="shared" si="23"/>
        <v/>
      </c>
      <c r="M117" t="str">
        <f t="shared" si="23"/>
        <v/>
      </c>
      <c r="N117" t="str">
        <f t="shared" si="23"/>
        <v/>
      </c>
      <c r="O117" t="str">
        <f t="shared" si="23"/>
        <v/>
      </c>
      <c r="P117" t="str">
        <f t="shared" si="23"/>
        <v/>
      </c>
      <c r="Q117" t="str">
        <f t="shared" si="23"/>
        <v/>
      </c>
      <c r="R117" t="str">
        <f t="shared" si="24"/>
        <v/>
      </c>
    </row>
    <row r="118" spans="1:18" ht="15">
      <c r="A118" t="s">
        <v>41</v>
      </c>
      <c r="B118" t="str">
        <f t="shared" si="25"/>
        <v>Rank ExpInsomnia</v>
      </c>
      <c r="C118" t="str">
        <f t="shared" si="26"/>
        <v>ExpInsomnia</v>
      </c>
      <c r="E118" t="s">
        <v>466</v>
      </c>
      <c r="F118" t="str">
        <f t="shared" si="23"/>
        <v/>
      </c>
      <c r="G118" t="str">
        <f t="shared" si="23"/>
        <v/>
      </c>
      <c r="H118" t="str">
        <f t="shared" si="23"/>
        <v/>
      </c>
      <c r="I118" t="str">
        <f t="shared" si="23"/>
        <v/>
      </c>
      <c r="J118" t="str">
        <f t="shared" si="23"/>
        <v/>
      </c>
      <c r="K118" t="str">
        <f t="shared" si="23"/>
        <v/>
      </c>
      <c r="L118" t="str">
        <f t="shared" si="23"/>
        <v/>
      </c>
      <c r="M118" t="str">
        <f t="shared" si="23"/>
        <v/>
      </c>
      <c r="N118" t="str">
        <f t="shared" si="23"/>
        <v/>
      </c>
      <c r="O118" t="str">
        <f t="shared" si="23"/>
        <v/>
      </c>
      <c r="P118" t="str">
        <f t="shared" si="23"/>
        <v/>
      </c>
      <c r="Q118" t="str">
        <f t="shared" si="23"/>
        <v/>
      </c>
      <c r="R118" t="str">
        <f t="shared" si="24"/>
        <v/>
      </c>
    </row>
    <row r="119" spans="1:18" ht="15">
      <c r="A119" t="s">
        <v>41</v>
      </c>
      <c r="B119" t="str">
        <f t="shared" si="25"/>
        <v>Rank ExpNudity</v>
      </c>
      <c r="C119" t="str">
        <f t="shared" si="26"/>
        <v>ExpNudity</v>
      </c>
      <c r="E119" t="s">
        <v>466</v>
      </c>
      <c r="F119" t="str">
        <f t="shared" si="23"/>
        <v/>
      </c>
      <c r="G119" t="str">
        <f t="shared" si="23"/>
        <v/>
      </c>
      <c r="H119" t="str">
        <f t="shared" si="23"/>
        <v/>
      </c>
      <c r="I119" t="str">
        <f t="shared" si="23"/>
        <v/>
      </c>
      <c r="J119" t="str">
        <f t="shared" si="23"/>
        <v/>
      </c>
      <c r="K119" t="str">
        <f t="shared" si="23"/>
        <v/>
      </c>
      <c r="L119" t="str">
        <f t="shared" si="23"/>
        <v/>
      </c>
      <c r="M119" t="str">
        <f t="shared" si="23"/>
        <v/>
      </c>
      <c r="N119" t="str">
        <f t="shared" si="23"/>
        <v/>
      </c>
      <c r="O119" t="str">
        <f t="shared" si="23"/>
        <v/>
      </c>
      <c r="P119" t="str">
        <f t="shared" si="23"/>
        <v/>
      </c>
      <c r="Q119" t="str">
        <f t="shared" si="23"/>
        <v/>
      </c>
      <c r="R119" t="str">
        <f t="shared" si="24"/>
        <v/>
      </c>
    </row>
    <row r="120" spans="1:18" ht="15">
      <c r="A120" t="s">
        <v>41</v>
      </c>
      <c r="B120" t="str">
        <f t="shared" si="25"/>
        <v>Rank ExpSexualInappropriateness</v>
      </c>
      <c r="C120" t="str">
        <f t="shared" si="26"/>
        <v>ExpSexualInappropriateness</v>
      </c>
      <c r="E120" t="s">
        <v>466</v>
      </c>
      <c r="F120" t="str">
        <f aca="true" t="shared" si="27" ref="F120:Q122">IF(F$5,_xlfn.RANK.AVG(F98,F$82:F$100),"")</f>
        <v/>
      </c>
      <c r="G120" t="str">
        <f t="shared" si="27"/>
        <v/>
      </c>
      <c r="H120" t="str">
        <f t="shared" si="27"/>
        <v/>
      </c>
      <c r="I120" t="str">
        <f t="shared" si="27"/>
        <v/>
      </c>
      <c r="J120" t="str">
        <f t="shared" si="27"/>
        <v/>
      </c>
      <c r="K120" t="str">
        <f t="shared" si="27"/>
        <v/>
      </c>
      <c r="L120" t="str">
        <f t="shared" si="27"/>
        <v/>
      </c>
      <c r="M120" t="str">
        <f t="shared" si="27"/>
        <v/>
      </c>
      <c r="N120" t="str">
        <f t="shared" si="27"/>
        <v/>
      </c>
      <c r="O120" t="str">
        <f t="shared" si="27"/>
        <v/>
      </c>
      <c r="P120" t="str">
        <f t="shared" si="27"/>
        <v/>
      </c>
      <c r="Q120" t="str">
        <f t="shared" si="27"/>
        <v/>
      </c>
      <c r="R120" t="str">
        <f t="shared" si="24"/>
        <v/>
      </c>
    </row>
    <row r="121" spans="1:18" ht="15">
      <c r="A121" t="s">
        <v>41</v>
      </c>
      <c r="B121" t="str">
        <f t="shared" si="25"/>
        <v>Rank ExpDelusions</v>
      </c>
      <c r="C121" t="str">
        <f t="shared" si="26"/>
        <v>ExpDelusions</v>
      </c>
      <c r="E121" t="s">
        <v>466</v>
      </c>
      <c r="F121" t="str">
        <f t="shared" si="27"/>
        <v/>
      </c>
      <c r="G121" t="str">
        <f t="shared" si="27"/>
        <v/>
      </c>
      <c r="H121" t="str">
        <f t="shared" si="27"/>
        <v/>
      </c>
      <c r="I121" t="str">
        <f t="shared" si="27"/>
        <v/>
      </c>
      <c r="J121" t="str">
        <f t="shared" si="27"/>
        <v/>
      </c>
      <c r="K121" t="str">
        <f t="shared" si="27"/>
        <v/>
      </c>
      <c r="L121" t="str">
        <f t="shared" si="27"/>
        <v/>
      </c>
      <c r="M121" t="str">
        <f t="shared" si="27"/>
        <v/>
      </c>
      <c r="N121" t="str">
        <f t="shared" si="27"/>
        <v/>
      </c>
      <c r="O121" t="str">
        <f t="shared" si="27"/>
        <v/>
      </c>
      <c r="P121" t="str">
        <f t="shared" si="27"/>
        <v/>
      </c>
      <c r="Q121" t="str">
        <f t="shared" si="27"/>
        <v/>
      </c>
      <c r="R121" t="str">
        <f t="shared" si="24"/>
        <v/>
      </c>
    </row>
    <row r="122" spans="1:18" ht="15">
      <c r="A122" t="s">
        <v>41</v>
      </c>
      <c r="B122" t="str">
        <f t="shared" si="25"/>
        <v>Rank ExpHallucinations</v>
      </c>
      <c r="C122" t="str">
        <f t="shared" si="26"/>
        <v>ExpHallucinations</v>
      </c>
      <c r="E122" t="s">
        <v>466</v>
      </c>
      <c r="F122" t="str">
        <f t="shared" si="27"/>
        <v/>
      </c>
      <c r="G122" t="str">
        <f t="shared" si="27"/>
        <v/>
      </c>
      <c r="H122" t="str">
        <f t="shared" si="27"/>
        <v/>
      </c>
      <c r="I122" t="str">
        <f t="shared" si="27"/>
        <v/>
      </c>
      <c r="J122" t="str">
        <f t="shared" si="27"/>
        <v/>
      </c>
      <c r="K122" t="str">
        <f t="shared" si="27"/>
        <v/>
      </c>
      <c r="L122" t="str">
        <f t="shared" si="27"/>
        <v/>
      </c>
      <c r="M122" t="str">
        <f t="shared" si="27"/>
        <v/>
      </c>
      <c r="N122" t="str">
        <f t="shared" si="27"/>
        <v/>
      </c>
      <c r="O122" t="str">
        <f t="shared" si="27"/>
        <v/>
      </c>
      <c r="P122" t="str">
        <f t="shared" si="27"/>
        <v/>
      </c>
      <c r="Q122" t="str">
        <f t="shared" si="27"/>
        <v/>
      </c>
      <c r="R122" t="str">
        <f t="shared" si="24"/>
        <v/>
      </c>
    </row>
    <row r="123" spans="1:18" ht="15">
      <c r="A123" t="s">
        <v>41</v>
      </c>
      <c r="B123" t="str">
        <f>"Expression rank "&amp;C123</f>
        <v>Expression rank 1</v>
      </c>
      <c r="C123">
        <v>1</v>
      </c>
      <c r="E123" t="s">
        <v>466</v>
      </c>
      <c r="F123" t="str">
        <f>IF(F$5,INDEX(InputLists!$R:$R,MATCH(INDEX($C$104:$C$122,MATCH($C123,F$104:F$122,0)),InputLists!$Q:$Q,0)),"")</f>
        <v/>
      </c>
      <c r="G123" t="str">
        <f>IF(G$5,INDEX(InputLists!$R:$R,MATCH(INDEX($C$104:$C$122,MATCH($C123,G$104:G$122,0)),InputLists!$Q:$Q,0)),"")</f>
        <v/>
      </c>
      <c r="H123" t="str">
        <f>IF(H$5,INDEX(InputLists!$R:$R,MATCH(INDEX($C$104:$C$122,MATCH($C123,H$104:H$122,0)),InputLists!$Q:$Q,0)),"")</f>
        <v/>
      </c>
      <c r="I123" t="str">
        <f>IF(I$5,INDEX(InputLists!$R:$R,MATCH(INDEX($C$104:$C$122,MATCH($C123,I$104:I$122,0)),InputLists!$Q:$Q,0)),"")</f>
        <v/>
      </c>
      <c r="J123" t="str">
        <f>IF(J$5,INDEX(InputLists!$R:$R,MATCH(INDEX($C$104:$C$122,MATCH($C123,J$104:J$122,0)),InputLists!$Q:$Q,0)),"")</f>
        <v/>
      </c>
      <c r="K123" t="str">
        <f>IF(K$5,INDEX(InputLists!$R:$R,MATCH(INDEX($C$104:$C$122,MATCH($C123,K$104:K$122,0)),InputLists!$Q:$Q,0)),"")</f>
        <v/>
      </c>
      <c r="L123" t="str">
        <f>IF(L$5,INDEX(InputLists!$R:$R,MATCH(INDEX($C$104:$C$122,MATCH($C123,L$104:L$122,0)),InputLists!$Q:$Q,0)),"")</f>
        <v/>
      </c>
      <c r="M123" t="str">
        <f>IF(M$5,INDEX(InputLists!$R:$R,MATCH(INDEX($C$104:$C$122,MATCH($C123,M$104:M$122,0)),InputLists!$Q:$Q,0)),"")</f>
        <v/>
      </c>
      <c r="N123" t="str">
        <f>IF(N$5,INDEX(InputLists!$R:$R,MATCH(INDEX($C$104:$C$122,MATCH($C123,N$104:N$122,0)),InputLists!$Q:$Q,0)),"")</f>
        <v/>
      </c>
      <c r="O123" t="str">
        <f>IF(O$5,INDEX(InputLists!$R:$R,MATCH(INDEX($C$104:$C$122,MATCH($C123,O$104:O$122,0)),InputLists!$Q:$Q,0)),"")</f>
        <v/>
      </c>
      <c r="P123" t="str">
        <f>IF(P$5,INDEX(InputLists!$R:$R,MATCH(INDEX($C$104:$C$122,MATCH($C123,P$104:P$122,0)),InputLists!$Q:$Q,0)),"")</f>
        <v/>
      </c>
      <c r="Q123" t="str">
        <f>IF(Q$5,INDEX(InputLists!$R:$R,MATCH(INDEX($C$104:$C$122,MATCH($C123,Q$104:Q$122,0)),InputLists!$Q:$Q,0)),"")</f>
        <v/>
      </c>
      <c r="R123" t="str">
        <f>IF(R$5,INDEX(InputLists!$R:$R,MATCH(INDEX($C$104:$C$122,MATCH($C123,R$104:R$122,0)),InputLists!$Q:$Q,0)),"")</f>
        <v/>
      </c>
    </row>
    <row r="124" spans="1:18" ht="15">
      <c r="A124" t="s">
        <v>41</v>
      </c>
      <c r="B124" t="str">
        <f aca="true" t="shared" si="28" ref="B124:B132">"Expression rank "&amp;C124</f>
        <v>Expression rank 2</v>
      </c>
      <c r="C124">
        <f>1+C123</f>
        <v>2</v>
      </c>
      <c r="E124" t="s">
        <v>466</v>
      </c>
      <c r="F124" t="str">
        <f>IF(F$5,INDEX(InputLists!$R:$R,MATCH(INDEX($C$104:$C$122,MATCH($C124,F$104:F$122,0)),InputLists!$Q:$Q,0)),"")</f>
        <v/>
      </c>
      <c r="G124" t="str">
        <f>IF(G$5,INDEX(InputLists!$R:$R,MATCH(INDEX($C$104:$C$122,MATCH($C124,G$104:G$122,0)),InputLists!$Q:$Q,0)),"")</f>
        <v/>
      </c>
      <c r="H124" t="str">
        <f>IF(H$5,INDEX(InputLists!$R:$R,MATCH(INDEX($C$104:$C$122,MATCH($C124,H$104:H$122,0)),InputLists!$Q:$Q,0)),"")</f>
        <v/>
      </c>
      <c r="I124" t="str">
        <f>IF(I$5,INDEX(InputLists!$R:$R,MATCH(INDEX($C$104:$C$122,MATCH($C124,I$104:I$122,0)),InputLists!$Q:$Q,0)),"")</f>
        <v/>
      </c>
      <c r="J124" t="str">
        <f>IF(J$5,INDEX(InputLists!$R:$R,MATCH(INDEX($C$104:$C$122,MATCH($C124,J$104:J$122,0)),InputLists!$Q:$Q,0)),"")</f>
        <v/>
      </c>
      <c r="K124" t="str">
        <f>IF(K$5,INDEX(InputLists!$R:$R,MATCH(INDEX($C$104:$C$122,MATCH($C124,K$104:K$122,0)),InputLists!$Q:$Q,0)),"")</f>
        <v/>
      </c>
      <c r="L124" t="str">
        <f>IF(L$5,INDEX(InputLists!$R:$R,MATCH(INDEX($C$104:$C$122,MATCH($C124,L$104:L$122,0)),InputLists!$Q:$Q,0)),"")</f>
        <v/>
      </c>
      <c r="M124" t="str">
        <f>IF(M$5,INDEX(InputLists!$R:$R,MATCH(INDEX($C$104:$C$122,MATCH($C124,M$104:M$122,0)),InputLists!$Q:$Q,0)),"")</f>
        <v/>
      </c>
      <c r="N124" t="str">
        <f>IF(N$5,INDEX(InputLists!$R:$R,MATCH(INDEX($C$104:$C$122,MATCH($C124,N$104:N$122,0)),InputLists!$Q:$Q,0)),"")</f>
        <v/>
      </c>
      <c r="O124" t="str">
        <f>IF(O$5,INDEX(InputLists!$R:$R,MATCH(INDEX($C$104:$C$122,MATCH($C124,O$104:O$122,0)),InputLists!$Q:$Q,0)),"")</f>
        <v/>
      </c>
      <c r="P124" t="str">
        <f>IF(P$5,INDEX(InputLists!$R:$R,MATCH(INDEX($C$104:$C$122,MATCH($C124,P$104:P$122,0)),InputLists!$Q:$Q,0)),"")</f>
        <v/>
      </c>
      <c r="Q124" t="str">
        <f>IF(Q$5,INDEX(InputLists!$R:$R,MATCH(INDEX($C$104:$C$122,MATCH($C124,Q$104:Q$122,0)),InputLists!$Q:$Q,0)),"")</f>
        <v/>
      </c>
      <c r="R124" t="str">
        <f>IF(R$5,INDEX(InputLists!$R:$R,MATCH(INDEX($C$104:$C$122,MATCH($C124,R$104:R$122,0)),InputLists!$Q:$Q,0)),"")</f>
        <v/>
      </c>
    </row>
    <row r="125" spans="1:18" ht="15">
      <c r="A125" t="s">
        <v>41</v>
      </c>
      <c r="B125" t="str">
        <f t="shared" si="28"/>
        <v>Expression rank 3</v>
      </c>
      <c r="C125">
        <f aca="true" t="shared" si="29" ref="C125:C132">1+C124</f>
        <v>3</v>
      </c>
      <c r="E125" t="s">
        <v>466</v>
      </c>
      <c r="F125" t="str">
        <f>IF(F$5,INDEX(InputLists!$R:$R,MATCH(INDEX($C$104:$C$122,MATCH($C125,F$104:F$122,0)),InputLists!$Q:$Q,0)),"")</f>
        <v/>
      </c>
      <c r="G125" t="str">
        <f>IF(G$5,INDEX(InputLists!$R:$R,MATCH(INDEX($C$104:$C$122,MATCH($C125,G$104:G$122,0)),InputLists!$Q:$Q,0)),"")</f>
        <v/>
      </c>
      <c r="H125" t="str">
        <f>IF(H$5,INDEX(InputLists!$R:$R,MATCH(INDEX($C$104:$C$122,MATCH($C125,H$104:H$122,0)),InputLists!$Q:$Q,0)),"")</f>
        <v/>
      </c>
      <c r="I125" t="str">
        <f>IF(I$5,INDEX(InputLists!$R:$R,MATCH(INDEX($C$104:$C$122,MATCH($C125,I$104:I$122,0)),InputLists!$Q:$Q,0)),"")</f>
        <v/>
      </c>
      <c r="J125" t="str">
        <f>IF(J$5,INDEX(InputLists!$R:$R,MATCH(INDEX($C$104:$C$122,MATCH($C125,J$104:J$122,0)),InputLists!$Q:$Q,0)),"")</f>
        <v/>
      </c>
      <c r="K125" t="str">
        <f>IF(K$5,INDEX(InputLists!$R:$R,MATCH(INDEX($C$104:$C$122,MATCH($C125,K$104:K$122,0)),InputLists!$Q:$Q,0)),"")</f>
        <v/>
      </c>
      <c r="L125" t="str">
        <f>IF(L$5,INDEX(InputLists!$R:$R,MATCH(INDEX($C$104:$C$122,MATCH($C125,L$104:L$122,0)),InputLists!$Q:$Q,0)),"")</f>
        <v/>
      </c>
      <c r="M125" t="str">
        <f>IF(M$5,INDEX(InputLists!$R:$R,MATCH(INDEX($C$104:$C$122,MATCH($C125,M$104:M$122,0)),InputLists!$Q:$Q,0)),"")</f>
        <v/>
      </c>
      <c r="N125" t="str">
        <f>IF(N$5,INDEX(InputLists!$R:$R,MATCH(INDEX($C$104:$C$122,MATCH($C125,N$104:N$122,0)),InputLists!$Q:$Q,0)),"")</f>
        <v/>
      </c>
      <c r="O125" t="str">
        <f>IF(O$5,INDEX(InputLists!$R:$R,MATCH(INDEX($C$104:$C$122,MATCH($C125,O$104:O$122,0)),InputLists!$Q:$Q,0)),"")</f>
        <v/>
      </c>
      <c r="P125" t="str">
        <f>IF(P$5,INDEX(InputLists!$R:$R,MATCH(INDEX($C$104:$C$122,MATCH($C125,P$104:P$122,0)),InputLists!$Q:$Q,0)),"")</f>
        <v/>
      </c>
      <c r="Q125" t="str">
        <f>IF(Q$5,INDEX(InputLists!$R:$R,MATCH(INDEX($C$104:$C$122,MATCH($C125,Q$104:Q$122,0)),InputLists!$Q:$Q,0)),"")</f>
        <v/>
      </c>
      <c r="R125" t="str">
        <f>IF(R$5,INDEX(InputLists!$R:$R,MATCH(INDEX($C$104:$C$122,MATCH($C125,R$104:R$122,0)),InputLists!$Q:$Q,0)),"")</f>
        <v/>
      </c>
    </row>
    <row r="126" spans="1:18" ht="15">
      <c r="A126" t="s">
        <v>41</v>
      </c>
      <c r="B126" t="str">
        <f t="shared" si="28"/>
        <v>Expression rank 4</v>
      </c>
      <c r="C126">
        <f t="shared" si="29"/>
        <v>4</v>
      </c>
      <c r="E126" t="s">
        <v>466</v>
      </c>
      <c r="F126" t="str">
        <f>IF(F$5,INDEX(InputLists!$R:$R,MATCH(INDEX($C$104:$C$122,MATCH($C126,F$104:F$122,0)),InputLists!$Q:$Q,0)),"")</f>
        <v/>
      </c>
      <c r="G126" t="str">
        <f>IF(G$5,INDEX(InputLists!$R:$R,MATCH(INDEX($C$104:$C$122,MATCH($C126,G$104:G$122,0)),InputLists!$Q:$Q,0)),"")</f>
        <v/>
      </c>
      <c r="H126" t="str">
        <f>IF(H$5,INDEX(InputLists!$R:$R,MATCH(INDEX($C$104:$C$122,MATCH($C126,H$104:H$122,0)),InputLists!$Q:$Q,0)),"")</f>
        <v/>
      </c>
      <c r="I126" t="str">
        <f>IF(I$5,INDEX(InputLists!$R:$R,MATCH(INDEX($C$104:$C$122,MATCH($C126,I$104:I$122,0)),InputLists!$Q:$Q,0)),"")</f>
        <v/>
      </c>
      <c r="J126" t="str">
        <f>IF(J$5,INDEX(InputLists!$R:$R,MATCH(INDEX($C$104:$C$122,MATCH($C126,J$104:J$122,0)),InputLists!$Q:$Q,0)),"")</f>
        <v/>
      </c>
      <c r="K126" t="str">
        <f>IF(K$5,INDEX(InputLists!$R:$R,MATCH(INDEX($C$104:$C$122,MATCH($C126,K$104:K$122,0)),InputLists!$Q:$Q,0)),"")</f>
        <v/>
      </c>
      <c r="L126" t="str">
        <f>IF(L$5,INDEX(InputLists!$R:$R,MATCH(INDEX($C$104:$C$122,MATCH($C126,L$104:L$122,0)),InputLists!$Q:$Q,0)),"")</f>
        <v/>
      </c>
      <c r="M126" t="str">
        <f>IF(M$5,INDEX(InputLists!$R:$R,MATCH(INDEX($C$104:$C$122,MATCH($C126,M$104:M$122,0)),InputLists!$Q:$Q,0)),"")</f>
        <v/>
      </c>
      <c r="N126" t="str">
        <f>IF(N$5,INDEX(InputLists!$R:$R,MATCH(INDEX($C$104:$C$122,MATCH($C126,N$104:N$122,0)),InputLists!$Q:$Q,0)),"")</f>
        <v/>
      </c>
      <c r="O126" t="str">
        <f>IF(O$5,INDEX(InputLists!$R:$R,MATCH(INDEX($C$104:$C$122,MATCH($C126,O$104:O$122,0)),InputLists!$Q:$Q,0)),"")</f>
        <v/>
      </c>
      <c r="P126" t="str">
        <f>IF(P$5,INDEX(InputLists!$R:$R,MATCH(INDEX($C$104:$C$122,MATCH($C126,P$104:P$122,0)),InputLists!$Q:$Q,0)),"")</f>
        <v/>
      </c>
      <c r="Q126" t="str">
        <f>IF(Q$5,INDEX(InputLists!$R:$R,MATCH(INDEX($C$104:$C$122,MATCH($C126,Q$104:Q$122,0)),InputLists!$Q:$Q,0)),"")</f>
        <v/>
      </c>
      <c r="R126" t="str">
        <f>IF(R$5,INDEX(InputLists!$R:$R,MATCH(INDEX($C$104:$C$122,MATCH($C126,R$104:R$122,0)),InputLists!$Q:$Q,0)),"")</f>
        <v/>
      </c>
    </row>
    <row r="127" spans="1:18" ht="15">
      <c r="A127" t="s">
        <v>41</v>
      </c>
      <c r="B127" t="str">
        <f t="shared" si="28"/>
        <v>Expression rank 5</v>
      </c>
      <c r="C127">
        <f t="shared" si="29"/>
        <v>5</v>
      </c>
      <c r="E127" t="s">
        <v>466</v>
      </c>
      <c r="F127" t="str">
        <f>IF(F$5,INDEX(InputLists!$R:$R,MATCH(INDEX($C$104:$C$122,MATCH($C127,F$104:F$122,0)),InputLists!$Q:$Q,0)),"")</f>
        <v/>
      </c>
      <c r="G127" t="str">
        <f>IF(G$5,INDEX(InputLists!$R:$R,MATCH(INDEX($C$104:$C$122,MATCH($C127,G$104:G$122,0)),InputLists!$Q:$Q,0)),"")</f>
        <v/>
      </c>
      <c r="H127" t="str">
        <f>IF(H$5,INDEX(InputLists!$R:$R,MATCH(INDEX($C$104:$C$122,MATCH($C127,H$104:H$122,0)),InputLists!$Q:$Q,0)),"")</f>
        <v/>
      </c>
      <c r="I127" t="str">
        <f>IF(I$5,INDEX(InputLists!$R:$R,MATCH(INDEX($C$104:$C$122,MATCH($C127,I$104:I$122,0)),InputLists!$Q:$Q,0)),"")</f>
        <v/>
      </c>
      <c r="J127" t="str">
        <f>IF(J$5,INDEX(InputLists!$R:$R,MATCH(INDEX($C$104:$C$122,MATCH($C127,J$104:J$122,0)),InputLists!$Q:$Q,0)),"")</f>
        <v/>
      </c>
      <c r="K127" t="str">
        <f>IF(K$5,INDEX(InputLists!$R:$R,MATCH(INDEX($C$104:$C$122,MATCH($C127,K$104:K$122,0)),InputLists!$Q:$Q,0)),"")</f>
        <v/>
      </c>
      <c r="L127" t="str">
        <f>IF(L$5,INDEX(InputLists!$R:$R,MATCH(INDEX($C$104:$C$122,MATCH($C127,L$104:L$122,0)),InputLists!$Q:$Q,0)),"")</f>
        <v/>
      </c>
      <c r="M127" t="str">
        <f>IF(M$5,INDEX(InputLists!$R:$R,MATCH(INDEX($C$104:$C$122,MATCH($C127,M$104:M$122,0)),InputLists!$Q:$Q,0)),"")</f>
        <v/>
      </c>
      <c r="N127" t="str">
        <f>IF(N$5,INDEX(InputLists!$R:$R,MATCH(INDEX($C$104:$C$122,MATCH($C127,N$104:N$122,0)),InputLists!$Q:$Q,0)),"")</f>
        <v/>
      </c>
      <c r="O127" t="str">
        <f>IF(O$5,INDEX(InputLists!$R:$R,MATCH(INDEX($C$104:$C$122,MATCH($C127,O$104:O$122,0)),InputLists!$Q:$Q,0)),"")</f>
        <v/>
      </c>
      <c r="P127" t="str">
        <f>IF(P$5,INDEX(InputLists!$R:$R,MATCH(INDEX($C$104:$C$122,MATCH($C127,P$104:P$122,0)),InputLists!$Q:$Q,0)),"")</f>
        <v/>
      </c>
      <c r="Q127" t="str">
        <f>IF(Q$5,INDEX(InputLists!$R:$R,MATCH(INDEX($C$104:$C$122,MATCH($C127,Q$104:Q$122,0)),InputLists!$Q:$Q,0)),"")</f>
        <v/>
      </c>
      <c r="R127" t="str">
        <f>IF(R$5,INDEX(InputLists!$R:$R,MATCH(INDEX($C$104:$C$122,MATCH($C127,R$104:R$122,0)),InputLists!$Q:$Q,0)),"")</f>
        <v/>
      </c>
    </row>
    <row r="128" spans="1:18" ht="15">
      <c r="A128" t="s">
        <v>41</v>
      </c>
      <c r="B128" t="str">
        <f t="shared" si="28"/>
        <v>Expression rank 6</v>
      </c>
      <c r="C128">
        <f t="shared" si="29"/>
        <v>6</v>
      </c>
      <c r="E128" t="s">
        <v>466</v>
      </c>
      <c r="F128" t="str">
        <f>IF(F$5,INDEX(InputLists!$R:$R,MATCH(INDEX($C$104:$C$122,MATCH($C128,F$104:F$122,0)),InputLists!$Q:$Q,0)),"")</f>
        <v/>
      </c>
      <c r="G128" t="str">
        <f>IF(G$5,INDEX(InputLists!$R:$R,MATCH(INDEX($C$104:$C$122,MATCH($C128,G$104:G$122,0)),InputLists!$Q:$Q,0)),"")</f>
        <v/>
      </c>
      <c r="H128" t="str">
        <f>IF(H$5,INDEX(InputLists!$R:$R,MATCH(INDEX($C$104:$C$122,MATCH($C128,H$104:H$122,0)),InputLists!$Q:$Q,0)),"")</f>
        <v/>
      </c>
      <c r="I128" t="str">
        <f>IF(I$5,INDEX(InputLists!$R:$R,MATCH(INDEX($C$104:$C$122,MATCH($C128,I$104:I$122,0)),InputLists!$Q:$Q,0)),"")</f>
        <v/>
      </c>
      <c r="J128" t="str">
        <f>IF(J$5,INDEX(InputLists!$R:$R,MATCH(INDEX($C$104:$C$122,MATCH($C128,J$104:J$122,0)),InputLists!$Q:$Q,0)),"")</f>
        <v/>
      </c>
      <c r="K128" t="str">
        <f>IF(K$5,INDEX(InputLists!$R:$R,MATCH(INDEX($C$104:$C$122,MATCH($C128,K$104:K$122,0)),InputLists!$Q:$Q,0)),"")</f>
        <v/>
      </c>
      <c r="L128" t="str">
        <f>IF(L$5,INDEX(InputLists!$R:$R,MATCH(INDEX($C$104:$C$122,MATCH($C128,L$104:L$122,0)),InputLists!$Q:$Q,0)),"")</f>
        <v/>
      </c>
      <c r="M128" t="str">
        <f>IF(M$5,INDEX(InputLists!$R:$R,MATCH(INDEX($C$104:$C$122,MATCH($C128,M$104:M$122,0)),InputLists!$Q:$Q,0)),"")</f>
        <v/>
      </c>
      <c r="N128" t="str">
        <f>IF(N$5,INDEX(InputLists!$R:$R,MATCH(INDEX($C$104:$C$122,MATCH($C128,N$104:N$122,0)),InputLists!$Q:$Q,0)),"")</f>
        <v/>
      </c>
      <c r="O128" t="str">
        <f>IF(O$5,INDEX(InputLists!$R:$R,MATCH(INDEX($C$104:$C$122,MATCH($C128,O$104:O$122,0)),InputLists!$Q:$Q,0)),"")</f>
        <v/>
      </c>
      <c r="P128" t="str">
        <f>IF(P$5,INDEX(InputLists!$R:$R,MATCH(INDEX($C$104:$C$122,MATCH($C128,P$104:P$122,0)),InputLists!$Q:$Q,0)),"")</f>
        <v/>
      </c>
      <c r="Q128" t="str">
        <f>IF(Q$5,INDEX(InputLists!$R:$R,MATCH(INDEX($C$104:$C$122,MATCH($C128,Q$104:Q$122,0)),InputLists!$Q:$Q,0)),"")</f>
        <v/>
      </c>
      <c r="R128" t="str">
        <f>IF(R$5,INDEX(InputLists!$R:$R,MATCH(INDEX($C$104:$C$122,MATCH($C128,R$104:R$122,0)),InputLists!$Q:$Q,0)),"")</f>
        <v/>
      </c>
    </row>
    <row r="129" spans="1:18" ht="15">
      <c r="A129" t="s">
        <v>41</v>
      </c>
      <c r="B129" t="str">
        <f t="shared" si="28"/>
        <v>Expression rank 7</v>
      </c>
      <c r="C129">
        <f t="shared" si="29"/>
        <v>7</v>
      </c>
      <c r="E129" t="s">
        <v>466</v>
      </c>
      <c r="F129" t="str">
        <f>IF(F$5,INDEX(InputLists!$R:$R,MATCH(INDEX($C$104:$C$122,MATCH($C129,F$104:F$122,0)),InputLists!$Q:$Q,0)),"")</f>
        <v/>
      </c>
      <c r="G129" t="str">
        <f>IF(G$5,INDEX(InputLists!$R:$R,MATCH(INDEX($C$104:$C$122,MATCH($C129,G$104:G$122,0)),InputLists!$Q:$Q,0)),"")</f>
        <v/>
      </c>
      <c r="H129" t="str">
        <f>IF(H$5,INDEX(InputLists!$R:$R,MATCH(INDEX($C$104:$C$122,MATCH($C129,H$104:H$122,0)),InputLists!$Q:$Q,0)),"")</f>
        <v/>
      </c>
      <c r="I129" t="str">
        <f>IF(I$5,INDEX(InputLists!$R:$R,MATCH(INDEX($C$104:$C$122,MATCH($C129,I$104:I$122,0)),InputLists!$Q:$Q,0)),"")</f>
        <v/>
      </c>
      <c r="J129" t="str">
        <f>IF(J$5,INDEX(InputLists!$R:$R,MATCH(INDEX($C$104:$C$122,MATCH($C129,J$104:J$122,0)),InputLists!$Q:$Q,0)),"")</f>
        <v/>
      </c>
      <c r="K129" t="str">
        <f>IF(K$5,INDEX(InputLists!$R:$R,MATCH(INDEX($C$104:$C$122,MATCH($C129,K$104:K$122,0)),InputLists!$Q:$Q,0)),"")</f>
        <v/>
      </c>
      <c r="L129" t="str">
        <f>IF(L$5,INDEX(InputLists!$R:$R,MATCH(INDEX($C$104:$C$122,MATCH($C129,L$104:L$122,0)),InputLists!$Q:$Q,0)),"")</f>
        <v/>
      </c>
      <c r="M129" t="str">
        <f>IF(M$5,INDEX(InputLists!$R:$R,MATCH(INDEX($C$104:$C$122,MATCH($C129,M$104:M$122,0)),InputLists!$Q:$Q,0)),"")</f>
        <v/>
      </c>
      <c r="N129" t="str">
        <f>IF(N$5,INDEX(InputLists!$R:$R,MATCH(INDEX($C$104:$C$122,MATCH($C129,N$104:N$122,0)),InputLists!$Q:$Q,0)),"")</f>
        <v/>
      </c>
      <c r="O129" t="str">
        <f>IF(O$5,INDEX(InputLists!$R:$R,MATCH(INDEX($C$104:$C$122,MATCH($C129,O$104:O$122,0)),InputLists!$Q:$Q,0)),"")</f>
        <v/>
      </c>
      <c r="P129" t="str">
        <f>IF(P$5,INDEX(InputLists!$R:$R,MATCH(INDEX($C$104:$C$122,MATCH($C129,P$104:P$122,0)),InputLists!$Q:$Q,0)),"")</f>
        <v/>
      </c>
      <c r="Q129" t="str">
        <f>IF(Q$5,INDEX(InputLists!$R:$R,MATCH(INDEX($C$104:$C$122,MATCH($C129,Q$104:Q$122,0)),InputLists!$Q:$Q,0)),"")</f>
        <v/>
      </c>
      <c r="R129" t="str">
        <f>IF(R$5,INDEX(InputLists!$R:$R,MATCH(INDEX($C$104:$C$122,MATCH($C129,R$104:R$122,0)),InputLists!$Q:$Q,0)),"")</f>
        <v/>
      </c>
    </row>
    <row r="130" spans="1:18" ht="15">
      <c r="A130" t="s">
        <v>41</v>
      </c>
      <c r="B130" t="str">
        <f t="shared" si="28"/>
        <v>Expression rank 8</v>
      </c>
      <c r="C130">
        <f t="shared" si="29"/>
        <v>8</v>
      </c>
      <c r="E130" t="s">
        <v>466</v>
      </c>
      <c r="F130" t="str">
        <f>IF(F$5,INDEX(InputLists!$R:$R,MATCH(INDEX($C$104:$C$122,MATCH($C130,F$104:F$122,0)),InputLists!$Q:$Q,0)),"")</f>
        <v/>
      </c>
      <c r="G130" t="str">
        <f>IF(G$5,INDEX(InputLists!$R:$R,MATCH(INDEX($C$104:$C$122,MATCH($C130,G$104:G$122,0)),InputLists!$Q:$Q,0)),"")</f>
        <v/>
      </c>
      <c r="H130" t="str">
        <f>IF(H$5,INDEX(InputLists!$R:$R,MATCH(INDEX($C$104:$C$122,MATCH($C130,H$104:H$122,0)),InputLists!$Q:$Q,0)),"")</f>
        <v/>
      </c>
      <c r="I130" t="str">
        <f>IF(I$5,INDEX(InputLists!$R:$R,MATCH(INDEX($C$104:$C$122,MATCH($C130,I$104:I$122,0)),InputLists!$Q:$Q,0)),"")</f>
        <v/>
      </c>
      <c r="J130" t="str">
        <f>IF(J$5,INDEX(InputLists!$R:$R,MATCH(INDEX($C$104:$C$122,MATCH($C130,J$104:J$122,0)),InputLists!$Q:$Q,0)),"")</f>
        <v/>
      </c>
      <c r="K130" t="str">
        <f>IF(K$5,INDEX(InputLists!$R:$R,MATCH(INDEX($C$104:$C$122,MATCH($C130,K$104:K$122,0)),InputLists!$Q:$Q,0)),"")</f>
        <v/>
      </c>
      <c r="L130" t="str">
        <f>IF(L$5,INDEX(InputLists!$R:$R,MATCH(INDEX($C$104:$C$122,MATCH($C130,L$104:L$122,0)),InputLists!$Q:$Q,0)),"")</f>
        <v/>
      </c>
      <c r="M130" t="str">
        <f>IF(M$5,INDEX(InputLists!$R:$R,MATCH(INDEX($C$104:$C$122,MATCH($C130,M$104:M$122,0)),InputLists!$Q:$Q,0)),"")</f>
        <v/>
      </c>
      <c r="N130" t="str">
        <f>IF(N$5,INDEX(InputLists!$R:$R,MATCH(INDEX($C$104:$C$122,MATCH($C130,N$104:N$122,0)),InputLists!$Q:$Q,0)),"")</f>
        <v/>
      </c>
      <c r="O130" t="str">
        <f>IF(O$5,INDEX(InputLists!$R:$R,MATCH(INDEX($C$104:$C$122,MATCH($C130,O$104:O$122,0)),InputLists!$Q:$Q,0)),"")</f>
        <v/>
      </c>
      <c r="P130" t="str">
        <f>IF(P$5,INDEX(InputLists!$R:$R,MATCH(INDEX($C$104:$C$122,MATCH($C130,P$104:P$122,0)),InputLists!$Q:$Q,0)),"")</f>
        <v/>
      </c>
      <c r="Q130" t="str">
        <f>IF(Q$5,INDEX(InputLists!$R:$R,MATCH(INDEX($C$104:$C$122,MATCH($C130,Q$104:Q$122,0)),InputLists!$Q:$Q,0)),"")</f>
        <v/>
      </c>
      <c r="R130" t="str">
        <f>IF(R$5,INDEX(InputLists!$R:$R,MATCH(INDEX($C$104:$C$122,MATCH($C130,R$104:R$122,0)),InputLists!$Q:$Q,0)),"")</f>
        <v/>
      </c>
    </row>
    <row r="131" spans="1:18" ht="15">
      <c r="A131" t="s">
        <v>41</v>
      </c>
      <c r="B131" t="str">
        <f t="shared" si="28"/>
        <v>Expression rank 9</v>
      </c>
      <c r="C131">
        <f t="shared" si="29"/>
        <v>9</v>
      </c>
      <c r="E131" t="s">
        <v>466</v>
      </c>
      <c r="F131" t="str">
        <f>IF(F$5,INDEX(InputLists!$R:$R,MATCH(INDEX($C$104:$C$122,MATCH($C131,F$104:F$122,0)),InputLists!$Q:$Q,0)),"")</f>
        <v/>
      </c>
      <c r="G131" t="str">
        <f>IF(G$5,INDEX(InputLists!$R:$R,MATCH(INDEX($C$104:$C$122,MATCH($C131,G$104:G$122,0)),InputLists!$Q:$Q,0)),"")</f>
        <v/>
      </c>
      <c r="H131" t="str">
        <f>IF(H$5,INDEX(InputLists!$R:$R,MATCH(INDEX($C$104:$C$122,MATCH($C131,H$104:H$122,0)),InputLists!$Q:$Q,0)),"")</f>
        <v/>
      </c>
      <c r="I131" t="str">
        <f>IF(I$5,INDEX(InputLists!$R:$R,MATCH(INDEX($C$104:$C$122,MATCH($C131,I$104:I$122,0)),InputLists!$Q:$Q,0)),"")</f>
        <v/>
      </c>
      <c r="J131" t="str">
        <f>IF(J$5,INDEX(InputLists!$R:$R,MATCH(INDEX($C$104:$C$122,MATCH($C131,J$104:J$122,0)),InputLists!$Q:$Q,0)),"")</f>
        <v/>
      </c>
      <c r="K131" t="str">
        <f>IF(K$5,INDEX(InputLists!$R:$R,MATCH(INDEX($C$104:$C$122,MATCH($C131,K$104:K$122,0)),InputLists!$Q:$Q,0)),"")</f>
        <v/>
      </c>
      <c r="L131" t="str">
        <f>IF(L$5,INDEX(InputLists!$R:$R,MATCH(INDEX($C$104:$C$122,MATCH($C131,L$104:L$122,0)),InputLists!$Q:$Q,0)),"")</f>
        <v/>
      </c>
      <c r="M131" t="str">
        <f>IF(M$5,INDEX(InputLists!$R:$R,MATCH(INDEX($C$104:$C$122,MATCH($C131,M$104:M$122,0)),InputLists!$Q:$Q,0)),"")</f>
        <v/>
      </c>
      <c r="N131" t="str">
        <f>IF(N$5,INDEX(InputLists!$R:$R,MATCH(INDEX($C$104:$C$122,MATCH($C131,N$104:N$122,0)),InputLists!$Q:$Q,0)),"")</f>
        <v/>
      </c>
      <c r="O131" t="str">
        <f>IF(O$5,INDEX(InputLists!$R:$R,MATCH(INDEX($C$104:$C$122,MATCH($C131,O$104:O$122,0)),InputLists!$Q:$Q,0)),"")</f>
        <v/>
      </c>
      <c r="P131" t="str">
        <f>IF(P$5,INDEX(InputLists!$R:$R,MATCH(INDEX($C$104:$C$122,MATCH($C131,P$104:P$122,0)),InputLists!$Q:$Q,0)),"")</f>
        <v/>
      </c>
      <c r="Q131" t="str">
        <f>IF(Q$5,INDEX(InputLists!$R:$R,MATCH(INDEX($C$104:$C$122,MATCH($C131,Q$104:Q$122,0)),InputLists!$Q:$Q,0)),"")</f>
        <v/>
      </c>
      <c r="R131" t="str">
        <f>IF(R$5,INDEX(InputLists!$R:$R,MATCH(INDEX($C$104:$C$122,MATCH($C131,R$104:R$122,0)),InputLists!$Q:$Q,0)),"")</f>
        <v/>
      </c>
    </row>
    <row r="132" spans="1:18" ht="15">
      <c r="A132" t="s">
        <v>41</v>
      </c>
      <c r="B132" t="str">
        <f t="shared" si="28"/>
        <v>Expression rank 10</v>
      </c>
      <c r="C132">
        <f t="shared" si="29"/>
        <v>10</v>
      </c>
      <c r="E132" t="s">
        <v>466</v>
      </c>
      <c r="F132" t="str">
        <f>IF(F$5,INDEX(InputLists!$R:$R,MATCH(INDEX($C$104:$C$122,MATCH($C132,F$104:F$122,0)),InputLists!$Q:$Q,0)),"")</f>
        <v/>
      </c>
      <c r="G132" t="str">
        <f>IF(G$5,INDEX(InputLists!$R:$R,MATCH(INDEX($C$104:$C$122,MATCH($C132,G$104:G$122,0)),InputLists!$Q:$Q,0)),"")</f>
        <v/>
      </c>
      <c r="H132" t="str">
        <f>IF(H$5,INDEX(InputLists!$R:$R,MATCH(INDEX($C$104:$C$122,MATCH($C132,H$104:H$122,0)),InputLists!$Q:$Q,0)),"")</f>
        <v/>
      </c>
      <c r="I132" t="str">
        <f>IF(I$5,INDEX(InputLists!$R:$R,MATCH(INDEX($C$104:$C$122,MATCH($C132,I$104:I$122,0)),InputLists!$Q:$Q,0)),"")</f>
        <v/>
      </c>
      <c r="J132" t="str">
        <f>IF(J$5,INDEX(InputLists!$R:$R,MATCH(INDEX($C$104:$C$122,MATCH($C132,J$104:J$122,0)),InputLists!$Q:$Q,0)),"")</f>
        <v/>
      </c>
      <c r="K132" t="str">
        <f>IF(K$5,INDEX(InputLists!$R:$R,MATCH(INDEX($C$104:$C$122,MATCH($C132,K$104:K$122,0)),InputLists!$Q:$Q,0)),"")</f>
        <v/>
      </c>
      <c r="L132" t="str">
        <f>IF(L$5,INDEX(InputLists!$R:$R,MATCH(INDEX($C$104:$C$122,MATCH($C132,L$104:L$122,0)),InputLists!$Q:$Q,0)),"")</f>
        <v/>
      </c>
      <c r="M132" t="str">
        <f>IF(M$5,INDEX(InputLists!$R:$R,MATCH(INDEX($C$104:$C$122,MATCH($C132,M$104:M$122,0)),InputLists!$Q:$Q,0)),"")</f>
        <v/>
      </c>
      <c r="N132" t="str">
        <f>IF(N$5,INDEX(InputLists!$R:$R,MATCH(INDEX($C$104:$C$122,MATCH($C132,N$104:N$122,0)),InputLists!$Q:$Q,0)),"")</f>
        <v/>
      </c>
      <c r="O132" t="str">
        <f>IF(O$5,INDEX(InputLists!$R:$R,MATCH(INDEX($C$104:$C$122,MATCH($C132,O$104:O$122,0)),InputLists!$Q:$Q,0)),"")</f>
        <v/>
      </c>
      <c r="P132" t="str">
        <f>IF(P$5,INDEX(InputLists!$R:$R,MATCH(INDEX($C$104:$C$122,MATCH($C132,P$104:P$122,0)),InputLists!$Q:$Q,0)),"")</f>
        <v/>
      </c>
      <c r="Q132" t="str">
        <f>IF(Q$5,INDEX(InputLists!$R:$R,MATCH(INDEX($C$104:$C$122,MATCH($C132,Q$104:Q$122,0)),InputLists!$Q:$Q,0)),"")</f>
        <v/>
      </c>
      <c r="R132" t="str">
        <f>IF(R$5,INDEX(InputLists!$R:$R,MATCH(INDEX($C$104:$C$122,MATCH($C132,R$104:R$122,0)),InputLists!$Q:$Q,0)),"")</f>
        <v/>
      </c>
    </row>
    <row r="133" spans="1:18" ht="15">
      <c r="A133" t="s">
        <v>41</v>
      </c>
      <c r="B133" t="str">
        <f>"Number of medications for expression rank "&amp;C133</f>
        <v>Number of medications for expression rank 1</v>
      </c>
      <c r="C133">
        <v>1</v>
      </c>
      <c r="E133" t="s">
        <v>466</v>
      </c>
      <c r="F133" t="str">
        <f aca="true" t="shared" si="30" ref="F133:R142">IF(F$5,ROUND(IF(F$5,INDEX(F$82:F$100,MATCH($C133,F$104:F$122,0)),""),0),"")</f>
        <v/>
      </c>
      <c r="G133" t="str">
        <f t="shared" si="30"/>
        <v/>
      </c>
      <c r="H133" t="str">
        <f t="shared" si="30"/>
        <v/>
      </c>
      <c r="I133" t="str">
        <f t="shared" si="30"/>
        <v/>
      </c>
      <c r="J133" t="str">
        <f t="shared" si="30"/>
        <v/>
      </c>
      <c r="K133" t="str">
        <f t="shared" si="30"/>
        <v/>
      </c>
      <c r="L133" t="str">
        <f t="shared" si="30"/>
        <v/>
      </c>
      <c r="M133" t="str">
        <f t="shared" si="30"/>
        <v/>
      </c>
      <c r="N133" t="str">
        <f t="shared" si="30"/>
        <v/>
      </c>
      <c r="O133" t="str">
        <f t="shared" si="30"/>
        <v/>
      </c>
      <c r="P133" t="str">
        <f t="shared" si="30"/>
        <v/>
      </c>
      <c r="Q133" t="str">
        <f t="shared" si="30"/>
        <v/>
      </c>
      <c r="R133" t="str">
        <f t="shared" si="30"/>
        <v/>
      </c>
    </row>
    <row r="134" spans="1:18" ht="15">
      <c r="A134" t="s">
        <v>41</v>
      </c>
      <c r="B134" t="str">
        <f aca="true" t="shared" si="31" ref="B134:B142">"Number of medications for expression rank "&amp;C134</f>
        <v>Number of medications for expression rank 2</v>
      </c>
      <c r="C134">
        <f>1+C133</f>
        <v>2</v>
      </c>
      <c r="E134" t="s">
        <v>466</v>
      </c>
      <c r="F134" t="str">
        <f t="shared" si="30"/>
        <v/>
      </c>
      <c r="G134" t="str">
        <f t="shared" si="30"/>
        <v/>
      </c>
      <c r="H134" t="str">
        <f t="shared" si="30"/>
        <v/>
      </c>
      <c r="I134" t="str">
        <f t="shared" si="30"/>
        <v/>
      </c>
      <c r="J134" t="str">
        <f t="shared" si="30"/>
        <v/>
      </c>
      <c r="K134" t="str">
        <f t="shared" si="30"/>
        <v/>
      </c>
      <c r="L134" t="str">
        <f t="shared" si="30"/>
        <v/>
      </c>
      <c r="M134" t="str">
        <f t="shared" si="30"/>
        <v/>
      </c>
      <c r="N134" t="str">
        <f t="shared" si="30"/>
        <v/>
      </c>
      <c r="O134" t="str">
        <f t="shared" si="30"/>
        <v/>
      </c>
      <c r="P134" t="str">
        <f t="shared" si="30"/>
        <v/>
      </c>
      <c r="Q134" t="str">
        <f t="shared" si="30"/>
        <v/>
      </c>
      <c r="R134" t="str">
        <f t="shared" si="30"/>
        <v/>
      </c>
    </row>
    <row r="135" spans="1:18" ht="15">
      <c r="A135" t="s">
        <v>41</v>
      </c>
      <c r="B135" t="str">
        <f t="shared" si="31"/>
        <v>Number of medications for expression rank 3</v>
      </c>
      <c r="C135">
        <f aca="true" t="shared" si="32" ref="C135:C142">1+C134</f>
        <v>3</v>
      </c>
      <c r="E135" t="s">
        <v>466</v>
      </c>
      <c r="F135" t="str">
        <f t="shared" si="30"/>
        <v/>
      </c>
      <c r="G135" t="str">
        <f t="shared" si="30"/>
        <v/>
      </c>
      <c r="H135" t="str">
        <f t="shared" si="30"/>
        <v/>
      </c>
      <c r="I135" t="str">
        <f t="shared" si="30"/>
        <v/>
      </c>
      <c r="J135" t="str">
        <f t="shared" si="30"/>
        <v/>
      </c>
      <c r="K135" t="str">
        <f t="shared" si="30"/>
        <v/>
      </c>
      <c r="L135" t="str">
        <f t="shared" si="30"/>
        <v/>
      </c>
      <c r="M135" t="str">
        <f t="shared" si="30"/>
        <v/>
      </c>
      <c r="N135" t="str">
        <f t="shared" si="30"/>
        <v/>
      </c>
      <c r="O135" t="str">
        <f t="shared" si="30"/>
        <v/>
      </c>
      <c r="P135" t="str">
        <f t="shared" si="30"/>
        <v/>
      </c>
      <c r="Q135" t="str">
        <f t="shared" si="30"/>
        <v/>
      </c>
      <c r="R135" t="str">
        <f t="shared" si="30"/>
        <v/>
      </c>
    </row>
    <row r="136" spans="1:18" ht="15">
      <c r="A136" t="s">
        <v>41</v>
      </c>
      <c r="B136" t="str">
        <f t="shared" si="31"/>
        <v>Number of medications for expression rank 4</v>
      </c>
      <c r="C136">
        <f t="shared" si="32"/>
        <v>4</v>
      </c>
      <c r="E136" t="s">
        <v>466</v>
      </c>
      <c r="F136" t="str">
        <f t="shared" si="30"/>
        <v/>
      </c>
      <c r="G136" t="str">
        <f t="shared" si="30"/>
        <v/>
      </c>
      <c r="H136" t="str">
        <f t="shared" si="30"/>
        <v/>
      </c>
      <c r="I136" t="str">
        <f t="shared" si="30"/>
        <v/>
      </c>
      <c r="J136" t="str">
        <f t="shared" si="30"/>
        <v/>
      </c>
      <c r="K136" t="str">
        <f t="shared" si="30"/>
        <v/>
      </c>
      <c r="L136" t="str">
        <f t="shared" si="30"/>
        <v/>
      </c>
      <c r="M136" t="str">
        <f t="shared" si="30"/>
        <v/>
      </c>
      <c r="N136" t="str">
        <f t="shared" si="30"/>
        <v/>
      </c>
      <c r="O136" t="str">
        <f t="shared" si="30"/>
        <v/>
      </c>
      <c r="P136" t="str">
        <f t="shared" si="30"/>
        <v/>
      </c>
      <c r="Q136" t="str">
        <f t="shared" si="30"/>
        <v/>
      </c>
      <c r="R136" t="str">
        <f t="shared" si="30"/>
        <v/>
      </c>
    </row>
    <row r="137" spans="1:18" ht="15">
      <c r="A137" t="s">
        <v>41</v>
      </c>
      <c r="B137" t="str">
        <f t="shared" si="31"/>
        <v>Number of medications for expression rank 5</v>
      </c>
      <c r="C137">
        <f t="shared" si="32"/>
        <v>5</v>
      </c>
      <c r="E137" t="s">
        <v>466</v>
      </c>
      <c r="F137" t="str">
        <f t="shared" si="30"/>
        <v/>
      </c>
      <c r="G137" t="str">
        <f t="shared" si="30"/>
        <v/>
      </c>
      <c r="H137" t="str">
        <f t="shared" si="30"/>
        <v/>
      </c>
      <c r="I137" t="str">
        <f t="shared" si="30"/>
        <v/>
      </c>
      <c r="J137" t="str">
        <f t="shared" si="30"/>
        <v/>
      </c>
      <c r="K137" t="str">
        <f t="shared" si="30"/>
        <v/>
      </c>
      <c r="L137" t="str">
        <f t="shared" si="30"/>
        <v/>
      </c>
      <c r="M137" t="str">
        <f t="shared" si="30"/>
        <v/>
      </c>
      <c r="N137" t="str">
        <f t="shared" si="30"/>
        <v/>
      </c>
      <c r="O137" t="str">
        <f t="shared" si="30"/>
        <v/>
      </c>
      <c r="P137" t="str">
        <f t="shared" si="30"/>
        <v/>
      </c>
      <c r="Q137" t="str">
        <f t="shared" si="30"/>
        <v/>
      </c>
      <c r="R137" t="str">
        <f t="shared" si="30"/>
        <v/>
      </c>
    </row>
    <row r="138" spans="1:18" ht="15">
      <c r="A138" t="s">
        <v>41</v>
      </c>
      <c r="B138" t="str">
        <f t="shared" si="31"/>
        <v>Number of medications for expression rank 6</v>
      </c>
      <c r="C138">
        <f t="shared" si="32"/>
        <v>6</v>
      </c>
      <c r="E138" t="s">
        <v>466</v>
      </c>
      <c r="F138" t="str">
        <f t="shared" si="30"/>
        <v/>
      </c>
      <c r="G138" t="str">
        <f t="shared" si="30"/>
        <v/>
      </c>
      <c r="H138" t="str">
        <f t="shared" si="30"/>
        <v/>
      </c>
      <c r="I138" t="str">
        <f t="shared" si="30"/>
        <v/>
      </c>
      <c r="J138" t="str">
        <f t="shared" si="30"/>
        <v/>
      </c>
      <c r="K138" t="str">
        <f t="shared" si="30"/>
        <v/>
      </c>
      <c r="L138" t="str">
        <f t="shared" si="30"/>
        <v/>
      </c>
      <c r="M138" t="str">
        <f t="shared" si="30"/>
        <v/>
      </c>
      <c r="N138" t="str">
        <f t="shared" si="30"/>
        <v/>
      </c>
      <c r="O138" t="str">
        <f t="shared" si="30"/>
        <v/>
      </c>
      <c r="P138" t="str">
        <f t="shared" si="30"/>
        <v/>
      </c>
      <c r="Q138" t="str">
        <f t="shared" si="30"/>
        <v/>
      </c>
      <c r="R138" t="str">
        <f t="shared" si="30"/>
        <v/>
      </c>
    </row>
    <row r="139" spans="1:18" ht="15">
      <c r="A139" t="s">
        <v>41</v>
      </c>
      <c r="B139" t="str">
        <f t="shared" si="31"/>
        <v>Number of medications for expression rank 7</v>
      </c>
      <c r="C139">
        <f t="shared" si="32"/>
        <v>7</v>
      </c>
      <c r="E139" t="s">
        <v>466</v>
      </c>
      <c r="F139" t="str">
        <f t="shared" si="30"/>
        <v/>
      </c>
      <c r="G139" t="str">
        <f t="shared" si="30"/>
        <v/>
      </c>
      <c r="H139" t="str">
        <f t="shared" si="30"/>
        <v/>
      </c>
      <c r="I139" t="str">
        <f t="shared" si="30"/>
        <v/>
      </c>
      <c r="J139" t="str">
        <f t="shared" si="30"/>
        <v/>
      </c>
      <c r="K139" t="str">
        <f t="shared" si="30"/>
        <v/>
      </c>
      <c r="L139" t="str">
        <f t="shared" si="30"/>
        <v/>
      </c>
      <c r="M139" t="str">
        <f t="shared" si="30"/>
        <v/>
      </c>
      <c r="N139" t="str">
        <f t="shared" si="30"/>
        <v/>
      </c>
      <c r="O139" t="str">
        <f t="shared" si="30"/>
        <v/>
      </c>
      <c r="P139" t="str">
        <f t="shared" si="30"/>
        <v/>
      </c>
      <c r="Q139" t="str">
        <f t="shared" si="30"/>
        <v/>
      </c>
      <c r="R139" t="str">
        <f t="shared" si="30"/>
        <v/>
      </c>
    </row>
    <row r="140" spans="1:18" ht="15">
      <c r="A140" t="s">
        <v>41</v>
      </c>
      <c r="B140" t="str">
        <f t="shared" si="31"/>
        <v>Number of medications for expression rank 8</v>
      </c>
      <c r="C140">
        <f t="shared" si="32"/>
        <v>8</v>
      </c>
      <c r="E140" t="s">
        <v>466</v>
      </c>
      <c r="F140" t="str">
        <f t="shared" si="30"/>
        <v/>
      </c>
      <c r="G140" t="str">
        <f t="shared" si="30"/>
        <v/>
      </c>
      <c r="H140" t="str">
        <f t="shared" si="30"/>
        <v/>
      </c>
      <c r="I140" t="str">
        <f t="shared" si="30"/>
        <v/>
      </c>
      <c r="J140" t="str">
        <f t="shared" si="30"/>
        <v/>
      </c>
      <c r="K140" t="str">
        <f t="shared" si="30"/>
        <v/>
      </c>
      <c r="L140" t="str">
        <f t="shared" si="30"/>
        <v/>
      </c>
      <c r="M140" t="str">
        <f t="shared" si="30"/>
        <v/>
      </c>
      <c r="N140" t="str">
        <f t="shared" si="30"/>
        <v/>
      </c>
      <c r="O140" t="str">
        <f t="shared" si="30"/>
        <v/>
      </c>
      <c r="P140" t="str">
        <f t="shared" si="30"/>
        <v/>
      </c>
      <c r="Q140" t="str">
        <f t="shared" si="30"/>
        <v/>
      </c>
      <c r="R140" t="str">
        <f t="shared" si="30"/>
        <v/>
      </c>
    </row>
    <row r="141" spans="1:18" ht="15">
      <c r="A141" t="s">
        <v>41</v>
      </c>
      <c r="B141" t="str">
        <f t="shared" si="31"/>
        <v>Number of medications for expression rank 9</v>
      </c>
      <c r="C141">
        <f t="shared" si="32"/>
        <v>9</v>
      </c>
      <c r="E141" t="s">
        <v>466</v>
      </c>
      <c r="F141" t="str">
        <f t="shared" si="30"/>
        <v/>
      </c>
      <c r="G141" t="str">
        <f t="shared" si="30"/>
        <v/>
      </c>
      <c r="H141" t="str">
        <f t="shared" si="30"/>
        <v/>
      </c>
      <c r="I141" t="str">
        <f t="shared" si="30"/>
        <v/>
      </c>
      <c r="J141" t="str">
        <f t="shared" si="30"/>
        <v/>
      </c>
      <c r="K141" t="str">
        <f t="shared" si="30"/>
        <v/>
      </c>
      <c r="L141" t="str">
        <f t="shared" si="30"/>
        <v/>
      </c>
      <c r="M141" t="str">
        <f t="shared" si="30"/>
        <v/>
      </c>
      <c r="N141" t="str">
        <f t="shared" si="30"/>
        <v/>
      </c>
      <c r="O141" t="str">
        <f t="shared" si="30"/>
        <v/>
      </c>
      <c r="P141" t="str">
        <f t="shared" si="30"/>
        <v/>
      </c>
      <c r="Q141" t="str">
        <f t="shared" si="30"/>
        <v/>
      </c>
      <c r="R141" t="str">
        <f t="shared" si="30"/>
        <v/>
      </c>
    </row>
    <row r="142" spans="1:18" ht="15">
      <c r="A142" t="s">
        <v>41</v>
      </c>
      <c r="B142" t="str">
        <f t="shared" si="31"/>
        <v>Number of medications for expression rank 10</v>
      </c>
      <c r="C142">
        <f t="shared" si="32"/>
        <v>10</v>
      </c>
      <c r="E142" t="s">
        <v>466</v>
      </c>
      <c r="F142" t="str">
        <f t="shared" si="30"/>
        <v/>
      </c>
      <c r="G142" t="str">
        <f t="shared" si="30"/>
        <v/>
      </c>
      <c r="H142" t="str">
        <f t="shared" si="30"/>
        <v/>
      </c>
      <c r="I142" t="str">
        <f t="shared" si="30"/>
        <v/>
      </c>
      <c r="J142" t="str">
        <f t="shared" si="30"/>
        <v/>
      </c>
      <c r="K142" t="str">
        <f t="shared" si="30"/>
        <v/>
      </c>
      <c r="L142" t="str">
        <f t="shared" si="30"/>
        <v/>
      </c>
      <c r="M142" t="str">
        <f t="shared" si="30"/>
        <v/>
      </c>
      <c r="N142" t="str">
        <f t="shared" si="30"/>
        <v/>
      </c>
      <c r="O142" t="str">
        <f t="shared" si="30"/>
        <v/>
      </c>
      <c r="P142" t="str">
        <f t="shared" si="30"/>
        <v/>
      </c>
      <c r="Q142" t="str">
        <f t="shared" si="30"/>
        <v/>
      </c>
      <c r="R142" t="str">
        <f t="shared" si="30"/>
        <v/>
      </c>
    </row>
    <row r="143" spans="1:18" ht="15">
      <c r="A143" t="s">
        <v>41</v>
      </c>
      <c r="B143" t="s">
        <v>816</v>
      </c>
      <c r="E143" t="s">
        <v>466</v>
      </c>
      <c r="F143" t="str">
        <f aca="true" t="shared" si="33" ref="F143:Q143">IF(F$5,ROUND(SUM(F82:F103)-SUM(F133:F142),0),"")</f>
        <v/>
      </c>
      <c r="G143" t="str">
        <f t="shared" si="33"/>
        <v/>
      </c>
      <c r="H143" t="str">
        <f t="shared" si="33"/>
        <v/>
      </c>
      <c r="I143" t="str">
        <f t="shared" si="33"/>
        <v/>
      </c>
      <c r="J143" t="str">
        <f t="shared" si="33"/>
        <v/>
      </c>
      <c r="K143" t="str">
        <f t="shared" si="33"/>
        <v/>
      </c>
      <c r="L143" t="str">
        <f t="shared" si="33"/>
        <v/>
      </c>
      <c r="M143" t="str">
        <f t="shared" si="33"/>
        <v/>
      </c>
      <c r="N143" t="str">
        <f t="shared" si="33"/>
        <v/>
      </c>
      <c r="O143" t="str">
        <f t="shared" si="33"/>
        <v/>
      </c>
      <c r="P143" t="str">
        <f t="shared" si="33"/>
        <v/>
      </c>
      <c r="Q143" t="str">
        <f t="shared" si="33"/>
        <v/>
      </c>
      <c r="R143" t="str">
        <f>IF(R$5,ROUND(SUM(R82:R103)-SUM(R133:R142),0),"")</f>
        <v/>
      </c>
    </row>
    <row r="144" spans="1:18" ht="15">
      <c r="A144" t="s">
        <v>41</v>
      </c>
      <c r="B144" t="s">
        <v>814</v>
      </c>
      <c r="E144" t="s">
        <v>466</v>
      </c>
      <c r="F144" t="str">
        <f>IF(F$5,COUNTIFS(Medications!$AN:$AN,ReportAndOutcomeHistory!$A144,Medications!$AP:$AP,1,Medications!$AS:$AS,1,Medications!$AT:$AT,1),"")</f>
        <v/>
      </c>
      <c r="G144" t="str">
        <f>IF(G$5,COUNTIFS(Medications!$AN:$AN,ReportAndOutcomeHistory!$A144,Medications!$AP:$AP,1,Medications!$AS:$AS,1,Medications!$AT:$AT,1),"")</f>
        <v/>
      </c>
      <c r="H144" t="str">
        <f>IF(H$5,COUNTIFS(Medications!$AN:$AN,ReportAndOutcomeHistory!$A144,Medications!$AP:$AP,1,Medications!$AS:$AS,1,Medications!$AT:$AT,1),"")</f>
        <v/>
      </c>
      <c r="I144" t="str">
        <f>IF(I$5,COUNTIFS(Medications!$AN:$AN,ReportAndOutcomeHistory!$A144,Medications!$AP:$AP,1,Medications!$AS:$AS,1,Medications!$AT:$AT,1),"")</f>
        <v/>
      </c>
      <c r="J144" t="str">
        <f>IF(J$5,COUNTIFS(Medications!$AN:$AN,ReportAndOutcomeHistory!$A144,Medications!$AP:$AP,1,Medications!$AS:$AS,1,Medications!$AT:$AT,1),"")</f>
        <v/>
      </c>
      <c r="K144" t="str">
        <f>IF(K$5,COUNTIFS(Medications!$AN:$AN,ReportAndOutcomeHistory!$A144,Medications!$AP:$AP,1,Medications!$AS:$AS,1,Medications!$AT:$AT,1),"")</f>
        <v/>
      </c>
      <c r="L144" t="str">
        <f>IF(L$5,COUNTIFS(Medications!$AN:$AN,ReportAndOutcomeHistory!$A144,Medications!$AP:$AP,1,Medications!$AS:$AS,1,Medications!$AT:$AT,1),"")</f>
        <v/>
      </c>
      <c r="M144" t="str">
        <f>IF(M$5,COUNTIFS(Medications!$AN:$AN,ReportAndOutcomeHistory!$A144,Medications!$AP:$AP,1,Medications!$AS:$AS,1,Medications!$AT:$AT,1),"")</f>
        <v/>
      </c>
      <c r="N144" t="str">
        <f>IF(N$5,COUNTIFS(Medications!$AN:$AN,ReportAndOutcomeHistory!$A144,Medications!$AP:$AP,1,Medications!$AS:$AS,1,Medications!$AT:$AT,1),"")</f>
        <v/>
      </c>
      <c r="O144" t="str">
        <f>IF(O$5,COUNTIFS(Medications!$AN:$AN,ReportAndOutcomeHistory!$A144,Medications!$AP:$AP,1,Medications!$AS:$AS,1,Medications!$AT:$AT,1),"")</f>
        <v/>
      </c>
      <c r="P144" t="str">
        <f>IF(P$5,COUNTIFS(Medications!$AN:$AN,ReportAndOutcomeHistory!$A144,Medications!$AP:$AP,1,Medications!$AS:$AS,1,Medications!$AT:$AT,1),"")</f>
        <v/>
      </c>
      <c r="Q144" t="str">
        <f>IF(Q$5,COUNTIFS(Medications!$AN:$AN,ReportAndOutcomeHistory!$A144,Medications!$AP:$AP,1,Medications!$AS:$AS,1,Medications!$AT:$AT,1),"")</f>
        <v/>
      </c>
      <c r="R144" t="str">
        <f>IF(R$5,COUNTIFS(Medications!$AN:$AN,ReportAndOutcomeHistory!$A144,Medications!$AP:$AP,1,Medications!$AS:$AS,1,Medications!$AT:$AT,1),"")</f>
        <v/>
      </c>
    </row>
    <row r="145" spans="1:18" ht="15">
      <c r="A145" t="s">
        <v>41</v>
      </c>
      <c r="B145" t="str">
        <f>"Number of psychotropic medication orders tracked this month: Informed risk: """&amp;C145&amp;""""</f>
        <v>Number of psychotropic medication orders tracked this month: Informed risk: "1"</v>
      </c>
      <c r="C145">
        <v>1</v>
      </c>
      <c r="E145" t="s">
        <v>466</v>
      </c>
      <c r="F145" t="str">
        <f>IF(F$5,COUNTIFS(Medications!$AN:$AN,ReportAndOutcomeHistory!$A145,Medications!$AP:$AP,1,Medications!$J:$J,$C145),"")</f>
        <v/>
      </c>
      <c r="G145" t="str">
        <f>IF(G$5,COUNTIFS(Medications!$AN:$AN,ReportAndOutcomeHistory!$A145,Medications!$AP:$AP,1,Medications!$J:$J,$C145),"")</f>
        <v/>
      </c>
      <c r="H145" t="str">
        <f>IF(H$5,COUNTIFS(Medications!$AN:$AN,ReportAndOutcomeHistory!$A145,Medications!$AP:$AP,1,Medications!$J:$J,$C145),"")</f>
        <v/>
      </c>
      <c r="I145" t="str">
        <f>IF(I$5,COUNTIFS(Medications!$AN:$AN,ReportAndOutcomeHistory!$A145,Medications!$AP:$AP,1,Medications!$J:$J,$C145),"")</f>
        <v/>
      </c>
      <c r="J145" t="str">
        <f>IF(J$5,COUNTIFS(Medications!$AN:$AN,ReportAndOutcomeHistory!$A145,Medications!$AP:$AP,1,Medications!$J:$J,$C145),"")</f>
        <v/>
      </c>
      <c r="K145" t="str">
        <f>IF(K$5,COUNTIFS(Medications!$AN:$AN,ReportAndOutcomeHistory!$A145,Medications!$AP:$AP,1,Medications!$J:$J,$C145),"")</f>
        <v/>
      </c>
      <c r="L145" t="str">
        <f>IF(L$5,COUNTIFS(Medications!$AN:$AN,ReportAndOutcomeHistory!$A145,Medications!$AP:$AP,1,Medications!$J:$J,$C145),"")</f>
        <v/>
      </c>
      <c r="M145" t="str">
        <f>IF(M$5,COUNTIFS(Medications!$AN:$AN,ReportAndOutcomeHistory!$A145,Medications!$AP:$AP,1,Medications!$J:$J,$C145),"")</f>
        <v/>
      </c>
      <c r="N145" t="str">
        <f>IF(N$5,COUNTIFS(Medications!$AN:$AN,ReportAndOutcomeHistory!$A145,Medications!$AP:$AP,1,Medications!$J:$J,$C145),"")</f>
        <v/>
      </c>
      <c r="O145" t="str">
        <f>IF(O$5,COUNTIFS(Medications!$AN:$AN,ReportAndOutcomeHistory!$A145,Medications!$AP:$AP,1,Medications!$J:$J,$C145),"")</f>
        <v/>
      </c>
      <c r="P145" t="str">
        <f>IF(P$5,COUNTIFS(Medications!$AN:$AN,ReportAndOutcomeHistory!$A145,Medications!$AP:$AP,1,Medications!$J:$J,$C145),"")</f>
        <v/>
      </c>
      <c r="Q145" t="str">
        <f>IF(Q$5,COUNTIFS(Medications!$AN:$AN,ReportAndOutcomeHistory!$A145,Medications!$AP:$AP,1,Medications!$J:$J,$C145),"")</f>
        <v/>
      </c>
      <c r="R145" t="str">
        <f>IF(R$5,COUNTIFS(Medications!$AN:$AN,ReportAndOutcomeHistory!$A145,Medications!$AP:$AP,1,Medications!$J:$J,$C145),"")</f>
        <v/>
      </c>
    </row>
    <row r="146" spans="1:18" ht="15">
      <c r="A146" t="s">
        <v>41</v>
      </c>
      <c r="B146" t="str">
        <f>"Number of psychotropic medication orders tracked this month: Informed risk: """&amp;C146&amp;""""</f>
        <v>Number of psychotropic medication orders tracked this month: Informed risk: "0"</v>
      </c>
      <c r="C146">
        <v>0</v>
      </c>
      <c r="E146" t="s">
        <v>466</v>
      </c>
      <c r="F146" t="str">
        <f>IF(F$5,COUNTIFS(Medications!$AN:$AN,ReportAndOutcomeHistory!$A146,Medications!$AP:$AP,1,Medications!$J:$J,$C146),"")</f>
        <v/>
      </c>
      <c r="G146" t="str">
        <f>IF(G$5,COUNTIFS(Medications!$AN:$AN,ReportAndOutcomeHistory!$A146,Medications!$AP:$AP,1,Medications!$J:$J,$C146),"")</f>
        <v/>
      </c>
      <c r="H146" t="str">
        <f>IF(H$5,COUNTIFS(Medications!$AN:$AN,ReportAndOutcomeHistory!$A146,Medications!$AP:$AP,1,Medications!$J:$J,$C146),"")</f>
        <v/>
      </c>
      <c r="I146" t="str">
        <f>IF(I$5,COUNTIFS(Medications!$AN:$AN,ReportAndOutcomeHistory!$A146,Medications!$AP:$AP,1,Medications!$J:$J,$C146),"")</f>
        <v/>
      </c>
      <c r="J146" t="str">
        <f>IF(J$5,COUNTIFS(Medications!$AN:$AN,ReportAndOutcomeHistory!$A146,Medications!$AP:$AP,1,Medications!$J:$J,$C146),"")</f>
        <v/>
      </c>
      <c r="K146" t="str">
        <f>IF(K$5,COUNTIFS(Medications!$AN:$AN,ReportAndOutcomeHistory!$A146,Medications!$AP:$AP,1,Medications!$J:$J,$C146),"")</f>
        <v/>
      </c>
      <c r="L146" t="str">
        <f>IF(L$5,COUNTIFS(Medications!$AN:$AN,ReportAndOutcomeHistory!$A146,Medications!$AP:$AP,1,Medications!$J:$J,$C146),"")</f>
        <v/>
      </c>
      <c r="M146" t="str">
        <f>IF(M$5,COUNTIFS(Medications!$AN:$AN,ReportAndOutcomeHistory!$A146,Medications!$AP:$AP,1,Medications!$J:$J,$C146),"")</f>
        <v/>
      </c>
      <c r="N146" t="str">
        <f>IF(N$5,COUNTIFS(Medications!$AN:$AN,ReportAndOutcomeHistory!$A146,Medications!$AP:$AP,1,Medications!$J:$J,$C146),"")</f>
        <v/>
      </c>
      <c r="O146" t="str">
        <f>IF(O$5,COUNTIFS(Medications!$AN:$AN,ReportAndOutcomeHistory!$A146,Medications!$AP:$AP,1,Medications!$J:$J,$C146),"")</f>
        <v/>
      </c>
      <c r="P146" t="str">
        <f>IF(P$5,COUNTIFS(Medications!$AN:$AN,ReportAndOutcomeHistory!$A146,Medications!$AP:$AP,1,Medications!$J:$J,$C146),"")</f>
        <v/>
      </c>
      <c r="Q146" t="str">
        <f>IF(Q$5,COUNTIFS(Medications!$AN:$AN,ReportAndOutcomeHistory!$A146,Medications!$AP:$AP,1,Medications!$J:$J,$C146),"")</f>
        <v/>
      </c>
      <c r="R146" t="str">
        <f>IF(R$5,COUNTIFS(Medications!$AN:$AN,ReportAndOutcomeHistory!$A146,Medications!$AP:$AP,1,Medications!$J:$J,$C146),"")</f>
        <v/>
      </c>
    </row>
    <row r="147" spans="1:18" ht="15">
      <c r="A147" t="s">
        <v>41</v>
      </c>
      <c r="B147" t="str">
        <f>"Number of psychotropic medication orders tracked this month: Informed risk: """&amp;C147&amp;""""</f>
        <v>Number of psychotropic medication orders tracked this month: Informed risk: ""</v>
      </c>
      <c r="C147" t="str">
        <f>""</f>
        <v/>
      </c>
      <c r="E147" t="s">
        <v>466</v>
      </c>
      <c r="F147" t="str">
        <f>IF(F$5,COUNTIFS(Medications!$AN:$AN,ReportAndOutcomeHistory!$A147,Medications!$AP:$AP,1,Medications!$J:$J,$C147),"")</f>
        <v/>
      </c>
      <c r="G147" t="str">
        <f>IF(G$5,COUNTIFS(Medications!$AN:$AN,ReportAndOutcomeHistory!$A147,Medications!$AP:$AP,1,Medications!$J:$J,$C147),"")</f>
        <v/>
      </c>
      <c r="H147" t="str">
        <f>IF(H$5,COUNTIFS(Medications!$AN:$AN,ReportAndOutcomeHistory!$A147,Medications!$AP:$AP,1,Medications!$J:$J,$C147),"")</f>
        <v/>
      </c>
      <c r="I147" t="str">
        <f>IF(I$5,COUNTIFS(Medications!$AN:$AN,ReportAndOutcomeHistory!$A147,Medications!$AP:$AP,1,Medications!$J:$J,$C147),"")</f>
        <v/>
      </c>
      <c r="J147" t="str">
        <f>IF(J$5,COUNTIFS(Medications!$AN:$AN,ReportAndOutcomeHistory!$A147,Medications!$AP:$AP,1,Medications!$J:$J,$C147),"")</f>
        <v/>
      </c>
      <c r="K147" t="str">
        <f>IF(K$5,COUNTIFS(Medications!$AN:$AN,ReportAndOutcomeHistory!$A147,Medications!$AP:$AP,1,Medications!$J:$J,$C147),"")</f>
        <v/>
      </c>
      <c r="L147" t="str">
        <f>IF(L$5,COUNTIFS(Medications!$AN:$AN,ReportAndOutcomeHistory!$A147,Medications!$AP:$AP,1,Medications!$J:$J,$C147),"")</f>
        <v/>
      </c>
      <c r="M147" t="str">
        <f>IF(M$5,COUNTIFS(Medications!$AN:$AN,ReportAndOutcomeHistory!$A147,Medications!$AP:$AP,1,Medications!$J:$J,$C147),"")</f>
        <v/>
      </c>
      <c r="N147" t="str">
        <f>IF(N$5,COUNTIFS(Medications!$AN:$AN,ReportAndOutcomeHistory!$A147,Medications!$AP:$AP,1,Medications!$J:$J,$C147),"")</f>
        <v/>
      </c>
      <c r="O147" t="str">
        <f>IF(O$5,COUNTIFS(Medications!$AN:$AN,ReportAndOutcomeHistory!$A147,Medications!$AP:$AP,1,Medications!$J:$J,$C147),"")</f>
        <v/>
      </c>
      <c r="P147" t="str">
        <f>IF(P$5,COUNTIFS(Medications!$AN:$AN,ReportAndOutcomeHistory!$A147,Medications!$AP:$AP,1,Medications!$J:$J,$C147),"")</f>
        <v/>
      </c>
      <c r="Q147" t="str">
        <f>IF(Q$5,COUNTIFS(Medications!$AN:$AN,ReportAndOutcomeHistory!$A147,Medications!$AP:$AP,1,Medications!$J:$J,$C147),"")</f>
        <v/>
      </c>
      <c r="R147" t="str">
        <f>IF(R$5,COUNTIFS(Medications!$AN:$AN,ReportAndOutcomeHistory!$A147,Medications!$AP:$AP,1,Medications!$J:$J,$C147),"")</f>
        <v/>
      </c>
    </row>
    <row r="148" spans="1:18" ht="15">
      <c r="A148" t="s">
        <v>41</v>
      </c>
      <c r="B148" t="str">
        <f>"Number of psychotropic medication orders tracked this month: Informed treatment: """&amp;C148&amp;""""</f>
        <v>Number of psychotropic medication orders tracked this month: Informed treatment: "1"</v>
      </c>
      <c r="C148">
        <v>1</v>
      </c>
      <c r="E148" t="s">
        <v>466</v>
      </c>
      <c r="F148" t="str">
        <f>IF(F$5,COUNTIFS(Medications!$AN:$AN,ReportAndOutcomeHistory!$A148,Medications!$AP:$AP,1,Medications!$K:$K,$C148),"")</f>
        <v/>
      </c>
      <c r="G148" t="str">
        <f>IF(G$5,COUNTIFS(Medications!$AN:$AN,ReportAndOutcomeHistory!$A148,Medications!$AP:$AP,1,Medications!$K:$K,$C148),"")</f>
        <v/>
      </c>
      <c r="H148" t="str">
        <f>IF(H$5,COUNTIFS(Medications!$AN:$AN,ReportAndOutcomeHistory!$A148,Medications!$AP:$AP,1,Medications!$K:$K,$C148),"")</f>
        <v/>
      </c>
      <c r="I148" t="str">
        <f>IF(I$5,COUNTIFS(Medications!$AN:$AN,ReportAndOutcomeHistory!$A148,Medications!$AP:$AP,1,Medications!$K:$K,$C148),"")</f>
        <v/>
      </c>
      <c r="J148" t="str">
        <f>IF(J$5,COUNTIFS(Medications!$AN:$AN,ReportAndOutcomeHistory!$A148,Medications!$AP:$AP,1,Medications!$K:$K,$C148),"")</f>
        <v/>
      </c>
      <c r="K148" t="str">
        <f>IF(K$5,COUNTIFS(Medications!$AN:$AN,ReportAndOutcomeHistory!$A148,Medications!$AP:$AP,1,Medications!$K:$K,$C148),"")</f>
        <v/>
      </c>
      <c r="L148" t="str">
        <f>IF(L$5,COUNTIFS(Medications!$AN:$AN,ReportAndOutcomeHistory!$A148,Medications!$AP:$AP,1,Medications!$K:$K,$C148),"")</f>
        <v/>
      </c>
      <c r="M148" t="str">
        <f>IF(M$5,COUNTIFS(Medications!$AN:$AN,ReportAndOutcomeHistory!$A148,Medications!$AP:$AP,1,Medications!$K:$K,$C148),"")</f>
        <v/>
      </c>
      <c r="N148" t="str">
        <f>IF(N$5,COUNTIFS(Medications!$AN:$AN,ReportAndOutcomeHistory!$A148,Medications!$AP:$AP,1,Medications!$K:$K,$C148),"")</f>
        <v/>
      </c>
      <c r="O148" t="str">
        <f>IF(O$5,COUNTIFS(Medications!$AN:$AN,ReportAndOutcomeHistory!$A148,Medications!$AP:$AP,1,Medications!$K:$K,$C148),"")</f>
        <v/>
      </c>
      <c r="P148" t="str">
        <f>IF(P$5,COUNTIFS(Medications!$AN:$AN,ReportAndOutcomeHistory!$A148,Medications!$AP:$AP,1,Medications!$K:$K,$C148),"")</f>
        <v/>
      </c>
      <c r="Q148" t="str">
        <f>IF(Q$5,COUNTIFS(Medications!$AN:$AN,ReportAndOutcomeHistory!$A148,Medications!$AP:$AP,1,Medications!$K:$K,$C148),"")</f>
        <v/>
      </c>
      <c r="R148" t="str">
        <f>IF(R$5,COUNTIFS(Medications!$AN:$AN,ReportAndOutcomeHistory!$A148,Medications!$AP:$AP,1,Medications!$K:$K,$C148),"")</f>
        <v/>
      </c>
    </row>
    <row r="149" spans="1:18" ht="15">
      <c r="A149" t="s">
        <v>41</v>
      </c>
      <c r="B149" t="str">
        <f>"Number of psychotropic medication orders tracked this month: Informed treatment: """&amp;C149&amp;""""</f>
        <v>Number of psychotropic medication orders tracked this month: Informed treatment: "0"</v>
      </c>
      <c r="C149">
        <v>0</v>
      </c>
      <c r="E149" t="s">
        <v>466</v>
      </c>
      <c r="F149" t="str">
        <f>IF(F$5,COUNTIFS(Medications!$AN:$AN,ReportAndOutcomeHistory!$A149,Medications!$AP:$AP,1,Medications!$K:$K,$C149),"")</f>
        <v/>
      </c>
      <c r="G149" t="str">
        <f>IF(G$5,COUNTIFS(Medications!$AN:$AN,ReportAndOutcomeHistory!$A149,Medications!$AP:$AP,1,Medications!$K:$K,$C149),"")</f>
        <v/>
      </c>
      <c r="H149" t="str">
        <f>IF(H$5,COUNTIFS(Medications!$AN:$AN,ReportAndOutcomeHistory!$A149,Medications!$AP:$AP,1,Medications!$K:$K,$C149),"")</f>
        <v/>
      </c>
      <c r="I149" t="str">
        <f>IF(I$5,COUNTIFS(Medications!$AN:$AN,ReportAndOutcomeHistory!$A149,Medications!$AP:$AP,1,Medications!$K:$K,$C149),"")</f>
        <v/>
      </c>
      <c r="J149" t="str">
        <f>IF(J$5,COUNTIFS(Medications!$AN:$AN,ReportAndOutcomeHistory!$A149,Medications!$AP:$AP,1,Medications!$K:$K,$C149),"")</f>
        <v/>
      </c>
      <c r="K149" t="str">
        <f>IF(K$5,COUNTIFS(Medications!$AN:$AN,ReportAndOutcomeHistory!$A149,Medications!$AP:$AP,1,Medications!$K:$K,$C149),"")</f>
        <v/>
      </c>
      <c r="L149" t="str">
        <f>IF(L$5,COUNTIFS(Medications!$AN:$AN,ReportAndOutcomeHistory!$A149,Medications!$AP:$AP,1,Medications!$K:$K,$C149),"")</f>
        <v/>
      </c>
      <c r="M149" t="str">
        <f>IF(M$5,COUNTIFS(Medications!$AN:$AN,ReportAndOutcomeHistory!$A149,Medications!$AP:$AP,1,Medications!$K:$K,$C149),"")</f>
        <v/>
      </c>
      <c r="N149" t="str">
        <f>IF(N$5,COUNTIFS(Medications!$AN:$AN,ReportAndOutcomeHistory!$A149,Medications!$AP:$AP,1,Medications!$K:$K,$C149),"")</f>
        <v/>
      </c>
      <c r="O149" t="str">
        <f>IF(O$5,COUNTIFS(Medications!$AN:$AN,ReportAndOutcomeHistory!$A149,Medications!$AP:$AP,1,Medications!$K:$K,$C149),"")</f>
        <v/>
      </c>
      <c r="P149" t="str">
        <f>IF(P$5,COUNTIFS(Medications!$AN:$AN,ReportAndOutcomeHistory!$A149,Medications!$AP:$AP,1,Medications!$K:$K,$C149),"")</f>
        <v/>
      </c>
      <c r="Q149" t="str">
        <f>IF(Q$5,COUNTIFS(Medications!$AN:$AN,ReportAndOutcomeHistory!$A149,Medications!$AP:$AP,1,Medications!$K:$K,$C149),"")</f>
        <v/>
      </c>
      <c r="R149" t="str">
        <f>IF(R$5,COUNTIFS(Medications!$AN:$AN,ReportAndOutcomeHistory!$A149,Medications!$AP:$AP,1,Medications!$K:$K,$C149),"")</f>
        <v/>
      </c>
    </row>
    <row r="150" spans="1:18" ht="15">
      <c r="A150" t="s">
        <v>41</v>
      </c>
      <c r="B150" t="str">
        <f>"Number of psychotropic medication orders tracked this month: Informed treatment: """&amp;C150&amp;""""</f>
        <v>Number of psychotropic medication orders tracked this month: Informed treatment: ""</v>
      </c>
      <c r="C150" t="str">
        <f>""</f>
        <v/>
      </c>
      <c r="E150" t="s">
        <v>466</v>
      </c>
      <c r="F150" t="str">
        <f>IF(F$5,COUNTIFS(Medications!$AN:$AN,ReportAndOutcomeHistory!$A150,Medications!$AP:$AP,1,Medications!$K:$K,$C150),"")</f>
        <v/>
      </c>
      <c r="G150" t="str">
        <f>IF(G$5,COUNTIFS(Medications!$AN:$AN,ReportAndOutcomeHistory!$A150,Medications!$AP:$AP,1,Medications!$K:$K,$C150),"")</f>
        <v/>
      </c>
      <c r="H150" t="str">
        <f>IF(H$5,COUNTIFS(Medications!$AN:$AN,ReportAndOutcomeHistory!$A150,Medications!$AP:$AP,1,Medications!$K:$K,$C150),"")</f>
        <v/>
      </c>
      <c r="I150" t="str">
        <f>IF(I$5,COUNTIFS(Medications!$AN:$AN,ReportAndOutcomeHistory!$A150,Medications!$AP:$AP,1,Medications!$K:$K,$C150),"")</f>
        <v/>
      </c>
      <c r="J150" t="str">
        <f>IF(J$5,COUNTIFS(Medications!$AN:$AN,ReportAndOutcomeHistory!$A150,Medications!$AP:$AP,1,Medications!$K:$K,$C150),"")</f>
        <v/>
      </c>
      <c r="K150" t="str">
        <f>IF(K$5,COUNTIFS(Medications!$AN:$AN,ReportAndOutcomeHistory!$A150,Medications!$AP:$AP,1,Medications!$K:$K,$C150),"")</f>
        <v/>
      </c>
      <c r="L150" t="str">
        <f>IF(L$5,COUNTIFS(Medications!$AN:$AN,ReportAndOutcomeHistory!$A150,Medications!$AP:$AP,1,Medications!$K:$K,$C150),"")</f>
        <v/>
      </c>
      <c r="M150" t="str">
        <f>IF(M$5,COUNTIFS(Medications!$AN:$AN,ReportAndOutcomeHistory!$A150,Medications!$AP:$AP,1,Medications!$K:$K,$C150),"")</f>
        <v/>
      </c>
      <c r="N150" t="str">
        <f>IF(N$5,COUNTIFS(Medications!$AN:$AN,ReportAndOutcomeHistory!$A150,Medications!$AP:$AP,1,Medications!$K:$K,$C150),"")</f>
        <v/>
      </c>
      <c r="O150" t="str">
        <f>IF(O$5,COUNTIFS(Medications!$AN:$AN,ReportAndOutcomeHistory!$A150,Medications!$AP:$AP,1,Medications!$K:$K,$C150),"")</f>
        <v/>
      </c>
      <c r="P150" t="str">
        <f>IF(P$5,COUNTIFS(Medications!$AN:$AN,ReportAndOutcomeHistory!$A150,Medications!$AP:$AP,1,Medications!$K:$K,$C150),"")</f>
        <v/>
      </c>
      <c r="Q150" t="str">
        <f>IF(Q$5,COUNTIFS(Medications!$AN:$AN,ReportAndOutcomeHistory!$A150,Medications!$AP:$AP,1,Medications!$K:$K,$C150),"")</f>
        <v/>
      </c>
      <c r="R150" t="str">
        <f>IF(R$5,COUNTIFS(Medications!$AN:$AN,ReportAndOutcomeHistory!$A150,Medications!$AP:$AP,1,Medications!$K:$K,$C150),"")</f>
        <v/>
      </c>
    </row>
    <row r="151" spans="1:18" ht="15">
      <c r="A151" t="s">
        <v>41</v>
      </c>
      <c r="B151" t="str">
        <f>"Number of psychotropic medication orders tracked this month: Informed choose: """&amp;C151&amp;""""</f>
        <v>Number of psychotropic medication orders tracked this month: Informed choose: "1"</v>
      </c>
      <c r="C151">
        <v>1</v>
      </c>
      <c r="E151" t="s">
        <v>466</v>
      </c>
      <c r="F151" t="str">
        <f>IF(F$5,COUNTIFS(Medications!$AN:$AN,ReportAndOutcomeHistory!$A151,Medications!$AP:$AP,1,Medications!$L:$L,$C151),"")</f>
        <v/>
      </c>
      <c r="G151" t="str">
        <f>IF(G$5,COUNTIFS(Medications!$AN:$AN,ReportAndOutcomeHistory!$A151,Medications!$AP:$AP,1,Medications!$L:$L,$C151),"")</f>
        <v/>
      </c>
      <c r="H151" t="str">
        <f>IF(H$5,COUNTIFS(Medications!$AN:$AN,ReportAndOutcomeHistory!$A151,Medications!$AP:$AP,1,Medications!$L:$L,$C151),"")</f>
        <v/>
      </c>
      <c r="I151" t="str">
        <f>IF(I$5,COUNTIFS(Medications!$AN:$AN,ReportAndOutcomeHistory!$A151,Medications!$AP:$AP,1,Medications!$L:$L,$C151),"")</f>
        <v/>
      </c>
      <c r="J151" t="str">
        <f>IF(J$5,COUNTIFS(Medications!$AN:$AN,ReportAndOutcomeHistory!$A151,Medications!$AP:$AP,1,Medications!$L:$L,$C151),"")</f>
        <v/>
      </c>
      <c r="K151" t="str">
        <f>IF(K$5,COUNTIFS(Medications!$AN:$AN,ReportAndOutcomeHistory!$A151,Medications!$AP:$AP,1,Medications!$L:$L,$C151),"")</f>
        <v/>
      </c>
      <c r="L151" t="str">
        <f>IF(L$5,COUNTIFS(Medications!$AN:$AN,ReportAndOutcomeHistory!$A151,Medications!$AP:$AP,1,Medications!$L:$L,$C151),"")</f>
        <v/>
      </c>
      <c r="M151" t="str">
        <f>IF(M$5,COUNTIFS(Medications!$AN:$AN,ReportAndOutcomeHistory!$A151,Medications!$AP:$AP,1,Medications!$L:$L,$C151),"")</f>
        <v/>
      </c>
      <c r="N151" t="str">
        <f>IF(N$5,COUNTIFS(Medications!$AN:$AN,ReportAndOutcomeHistory!$A151,Medications!$AP:$AP,1,Medications!$L:$L,$C151),"")</f>
        <v/>
      </c>
      <c r="O151" t="str">
        <f>IF(O$5,COUNTIFS(Medications!$AN:$AN,ReportAndOutcomeHistory!$A151,Medications!$AP:$AP,1,Medications!$L:$L,$C151),"")</f>
        <v/>
      </c>
      <c r="P151" t="str">
        <f>IF(P$5,COUNTIFS(Medications!$AN:$AN,ReportAndOutcomeHistory!$A151,Medications!$AP:$AP,1,Medications!$L:$L,$C151),"")</f>
        <v/>
      </c>
      <c r="Q151" t="str">
        <f>IF(Q$5,COUNTIFS(Medications!$AN:$AN,ReportAndOutcomeHistory!$A151,Medications!$AP:$AP,1,Medications!$L:$L,$C151),"")</f>
        <v/>
      </c>
      <c r="R151" t="str">
        <f>IF(R$5,COUNTIFS(Medications!$AN:$AN,ReportAndOutcomeHistory!$A151,Medications!$AP:$AP,1,Medications!$L:$L,$C151),"")</f>
        <v/>
      </c>
    </row>
    <row r="152" spans="1:18" ht="15">
      <c r="A152" t="s">
        <v>41</v>
      </c>
      <c r="B152" t="str">
        <f>"Number of psychotropic medication orders tracked this month: Informed choose: """&amp;C152&amp;""""</f>
        <v>Number of psychotropic medication orders tracked this month: Informed choose: "0"</v>
      </c>
      <c r="C152">
        <v>0</v>
      </c>
      <c r="E152" t="s">
        <v>466</v>
      </c>
      <c r="F152" t="str">
        <f>IF(F$5,COUNTIFS(Medications!$AN:$AN,ReportAndOutcomeHistory!$A152,Medications!$AP:$AP,1,Medications!$L:$L,$C152),"")</f>
        <v/>
      </c>
      <c r="G152" t="str">
        <f>IF(G$5,COUNTIFS(Medications!$AN:$AN,ReportAndOutcomeHistory!$A152,Medications!$AP:$AP,1,Medications!$L:$L,$C152),"")</f>
        <v/>
      </c>
      <c r="H152" t="str">
        <f>IF(H$5,COUNTIFS(Medications!$AN:$AN,ReportAndOutcomeHistory!$A152,Medications!$AP:$AP,1,Medications!$L:$L,$C152),"")</f>
        <v/>
      </c>
      <c r="I152" t="str">
        <f>IF(I$5,COUNTIFS(Medications!$AN:$AN,ReportAndOutcomeHistory!$A152,Medications!$AP:$AP,1,Medications!$L:$L,$C152),"")</f>
        <v/>
      </c>
      <c r="J152" t="str">
        <f>IF(J$5,COUNTIFS(Medications!$AN:$AN,ReportAndOutcomeHistory!$A152,Medications!$AP:$AP,1,Medications!$L:$L,$C152),"")</f>
        <v/>
      </c>
      <c r="K152" t="str">
        <f>IF(K$5,COUNTIFS(Medications!$AN:$AN,ReportAndOutcomeHistory!$A152,Medications!$AP:$AP,1,Medications!$L:$L,$C152),"")</f>
        <v/>
      </c>
      <c r="L152" t="str">
        <f>IF(L$5,COUNTIFS(Medications!$AN:$AN,ReportAndOutcomeHistory!$A152,Medications!$AP:$AP,1,Medications!$L:$L,$C152),"")</f>
        <v/>
      </c>
      <c r="M152" t="str">
        <f>IF(M$5,COUNTIFS(Medications!$AN:$AN,ReportAndOutcomeHistory!$A152,Medications!$AP:$AP,1,Medications!$L:$L,$C152),"")</f>
        <v/>
      </c>
      <c r="N152" t="str">
        <f>IF(N$5,COUNTIFS(Medications!$AN:$AN,ReportAndOutcomeHistory!$A152,Medications!$AP:$AP,1,Medications!$L:$L,$C152),"")</f>
        <v/>
      </c>
      <c r="O152" t="str">
        <f>IF(O$5,COUNTIFS(Medications!$AN:$AN,ReportAndOutcomeHistory!$A152,Medications!$AP:$AP,1,Medications!$L:$L,$C152),"")</f>
        <v/>
      </c>
      <c r="P152" t="str">
        <f>IF(P$5,COUNTIFS(Medications!$AN:$AN,ReportAndOutcomeHistory!$A152,Medications!$AP:$AP,1,Medications!$L:$L,$C152),"")</f>
        <v/>
      </c>
      <c r="Q152" t="str">
        <f>IF(Q$5,COUNTIFS(Medications!$AN:$AN,ReportAndOutcomeHistory!$A152,Medications!$AP:$AP,1,Medications!$L:$L,$C152),"")</f>
        <v/>
      </c>
      <c r="R152" t="str">
        <f>IF(R$5,COUNTIFS(Medications!$AN:$AN,ReportAndOutcomeHistory!$A152,Medications!$AP:$AP,1,Medications!$L:$L,$C152),"")</f>
        <v/>
      </c>
    </row>
    <row r="153" spans="1:18" ht="15">
      <c r="A153" t="s">
        <v>41</v>
      </c>
      <c r="B153" t="str">
        <f>"Number of psychotropic medication orders tracked this month: Informed choose: """&amp;C153&amp;""""</f>
        <v>Number of psychotropic medication orders tracked this month: Informed choose: ""</v>
      </c>
      <c r="C153" t="str">
        <f>""</f>
        <v/>
      </c>
      <c r="E153" t="s">
        <v>466</v>
      </c>
      <c r="F153" t="str">
        <f>IF(F$5,COUNTIFS(Medications!$AN:$AN,ReportAndOutcomeHistory!$A153,Medications!$AP:$AP,1,Medications!$L:$L,$C153),"")</f>
        <v/>
      </c>
      <c r="G153" t="str">
        <f>IF(G$5,COUNTIFS(Medications!$AN:$AN,ReportAndOutcomeHistory!$A153,Medications!$AP:$AP,1,Medications!$L:$L,$C153),"")</f>
        <v/>
      </c>
      <c r="H153" t="str">
        <f>IF(H$5,COUNTIFS(Medications!$AN:$AN,ReportAndOutcomeHistory!$A153,Medications!$AP:$AP,1,Medications!$L:$L,$C153),"")</f>
        <v/>
      </c>
      <c r="I153" t="str">
        <f>IF(I$5,COUNTIFS(Medications!$AN:$AN,ReportAndOutcomeHistory!$A153,Medications!$AP:$AP,1,Medications!$L:$L,$C153),"")</f>
        <v/>
      </c>
      <c r="J153" t="str">
        <f>IF(J$5,COUNTIFS(Medications!$AN:$AN,ReportAndOutcomeHistory!$A153,Medications!$AP:$AP,1,Medications!$L:$L,$C153),"")</f>
        <v/>
      </c>
      <c r="K153" t="str">
        <f>IF(K$5,COUNTIFS(Medications!$AN:$AN,ReportAndOutcomeHistory!$A153,Medications!$AP:$AP,1,Medications!$L:$L,$C153),"")</f>
        <v/>
      </c>
      <c r="L153" t="str">
        <f>IF(L$5,COUNTIFS(Medications!$AN:$AN,ReportAndOutcomeHistory!$A153,Medications!$AP:$AP,1,Medications!$L:$L,$C153),"")</f>
        <v/>
      </c>
      <c r="M153" t="str">
        <f>IF(M$5,COUNTIFS(Medications!$AN:$AN,ReportAndOutcomeHistory!$A153,Medications!$AP:$AP,1,Medications!$L:$L,$C153),"")</f>
        <v/>
      </c>
      <c r="N153" t="str">
        <f>IF(N$5,COUNTIFS(Medications!$AN:$AN,ReportAndOutcomeHistory!$A153,Medications!$AP:$AP,1,Medications!$L:$L,$C153),"")</f>
        <v/>
      </c>
      <c r="O153" t="str">
        <f>IF(O$5,COUNTIFS(Medications!$AN:$AN,ReportAndOutcomeHistory!$A153,Medications!$AP:$AP,1,Medications!$L:$L,$C153),"")</f>
        <v/>
      </c>
      <c r="P153" t="str">
        <f>IF(P$5,COUNTIFS(Medications!$AN:$AN,ReportAndOutcomeHistory!$A153,Medications!$AP:$AP,1,Medications!$L:$L,$C153),"")</f>
        <v/>
      </c>
      <c r="Q153" t="str">
        <f>IF(Q$5,COUNTIFS(Medications!$AN:$AN,ReportAndOutcomeHistory!$A153,Medications!$AP:$AP,1,Medications!$L:$L,$C153),"")</f>
        <v/>
      </c>
      <c r="R153" t="str">
        <f>IF(R$5,COUNTIFS(Medications!$AN:$AN,ReportAndOutcomeHistory!$A153,Medications!$AP:$AP,1,Medications!$L:$L,$C153),"")</f>
        <v/>
      </c>
    </row>
    <row r="154" spans="1:18" ht="15">
      <c r="A154" t="s">
        <v>41</v>
      </c>
      <c r="B154" t="s">
        <v>853</v>
      </c>
      <c r="E154" t="s">
        <v>466</v>
      </c>
      <c r="F154" t="str">
        <f>IF(F$5,COUNTIFS(Medications!$AN:$AN,$A154,Medications!$AP:$AP,1,Medications!$AS:$AS,1),"")</f>
        <v/>
      </c>
      <c r="G154" t="str">
        <f>IF(G$5,COUNTIFS(Medications!$AN:$AN,$A154,Medications!$AP:$AP,1,Medications!$AS:$AS,1),"")</f>
        <v/>
      </c>
      <c r="H154" t="str">
        <f>IF(H$5,COUNTIFS(Medications!$AN:$AN,$A154,Medications!$AP:$AP,1,Medications!$AS:$AS,1),"")</f>
        <v/>
      </c>
      <c r="I154" t="str">
        <f>IF(I$5,COUNTIFS(Medications!$AN:$AN,$A154,Medications!$AP:$AP,1,Medications!$AS:$AS,1),"")</f>
        <v/>
      </c>
      <c r="J154" t="str">
        <f>IF(J$5,COUNTIFS(Medications!$AN:$AN,$A154,Medications!$AP:$AP,1,Medications!$AS:$AS,1),"")</f>
        <v/>
      </c>
      <c r="K154" t="str">
        <f>IF(K$5,COUNTIFS(Medications!$AN:$AN,$A154,Medications!$AP:$AP,1,Medications!$AS:$AS,1),"")</f>
        <v/>
      </c>
      <c r="L154" t="str">
        <f>IF(L$5,COUNTIFS(Medications!$AN:$AN,$A154,Medications!$AP:$AP,1,Medications!$AS:$AS,1),"")</f>
        <v/>
      </c>
      <c r="M154" t="str">
        <f>IF(M$5,COUNTIFS(Medications!$AN:$AN,$A154,Medications!$AP:$AP,1,Medications!$AS:$AS,1),"")</f>
        <v/>
      </c>
      <c r="N154" t="str">
        <f>IF(N$5,COUNTIFS(Medications!$AN:$AN,$A154,Medications!$AP:$AP,1,Medications!$AS:$AS,1),"")</f>
        <v/>
      </c>
      <c r="O154" t="str">
        <f>IF(O$5,COUNTIFS(Medications!$AN:$AN,$A154,Medications!$AP:$AP,1,Medications!$AS:$AS,1),"")</f>
        <v/>
      </c>
      <c r="P154" t="str">
        <f>IF(P$5,COUNTIFS(Medications!$AN:$AN,$A154,Medications!$AP:$AP,1,Medications!$AS:$AS,1),"")</f>
        <v/>
      </c>
      <c r="Q154" t="str">
        <f>IF(Q$5,COUNTIFS(Medications!$AN:$AN,$A154,Medications!$AP:$AP,1,Medications!$AS:$AS,1),"")</f>
        <v/>
      </c>
      <c r="R154" t="str">
        <f>IF(R$5,COUNTIFS(Medications!$AN:$AN,$A154,Medications!$AP:$AP,1,Medications!$AS:$AS,1),"")</f>
        <v/>
      </c>
    </row>
    <row r="155" spans="1:18" ht="15">
      <c r="A155" t="s">
        <v>41</v>
      </c>
      <c r="B155" t="s">
        <v>863</v>
      </c>
      <c r="E155" t="s">
        <v>465</v>
      </c>
      <c r="F155" t="str">
        <f>IF(F$5,COUNTIFS(Residents!$G:$G,$A155,Residents!$ID:$ID,1,Residents!$IE:$IE,1,Residents!$M:$M,1),"")</f>
        <v/>
      </c>
      <c r="G155" t="str">
        <f>IF(G$5,COUNTIFS(Residents!$G:$G,$A155,Residents!$ID:$ID,1,Residents!$IE:$IE,1,Residents!$M:$M,1),"")</f>
        <v/>
      </c>
      <c r="H155" t="str">
        <f>IF(H$5,COUNTIFS(Residents!$G:$G,$A155,Residents!$ID:$ID,1,Residents!$IE:$IE,1,Residents!$M:$M,1),"")</f>
        <v/>
      </c>
      <c r="I155" t="str">
        <f>IF(I$5,COUNTIFS(Residents!$G:$G,$A155,Residents!$ID:$ID,1,Residents!$IE:$IE,1,Residents!$M:$M,1),"")</f>
        <v/>
      </c>
      <c r="J155" t="str">
        <f>IF(J$5,COUNTIFS(Residents!$G:$G,$A155,Residents!$ID:$ID,1,Residents!$IE:$IE,1,Residents!$M:$M,1),"")</f>
        <v/>
      </c>
      <c r="K155" t="str">
        <f>IF(K$5,COUNTIFS(Residents!$G:$G,$A155,Residents!$ID:$ID,1,Residents!$IE:$IE,1,Residents!$M:$M,1),"")</f>
        <v/>
      </c>
      <c r="L155" t="str">
        <f>IF(L$5,COUNTIFS(Residents!$G:$G,$A155,Residents!$ID:$ID,1,Residents!$IE:$IE,1,Residents!$M:$M,1),"")</f>
        <v/>
      </c>
      <c r="M155" t="str">
        <f>IF(M$5,COUNTIFS(Residents!$G:$G,$A155,Residents!$ID:$ID,1,Residents!$IE:$IE,1,Residents!$M:$M,1),"")</f>
        <v/>
      </c>
      <c r="N155" t="str">
        <f>IF(N$5,COUNTIFS(Residents!$G:$G,$A155,Residents!$ID:$ID,1,Residents!$IE:$IE,1,Residents!$M:$M,1),"")</f>
        <v/>
      </c>
      <c r="O155" t="str">
        <f>IF(O$5,COUNTIFS(Residents!$G:$G,$A155,Residents!$ID:$ID,1,Residents!$IE:$IE,1,Residents!$M:$M,1),"")</f>
        <v/>
      </c>
      <c r="P155" t="str">
        <f>IF(P$5,COUNTIFS(Residents!$G:$G,$A155,Residents!$ID:$ID,1,Residents!$IE:$IE,1,Residents!$M:$M,1),"")</f>
        <v/>
      </c>
      <c r="Q155" t="str">
        <f>IF(Q$5,COUNTIFS(Residents!$G:$G,$A155,Residents!$ID:$ID,1,Residents!$IE:$IE,1,Residents!$M:$M,1),"")</f>
        <v/>
      </c>
      <c r="R155" t="str">
        <f>IF(R$5,COUNTIFS(Residents!$G:$G,$A155,Residents!$ID:$ID,1,Residents!$IE:$IE,1,Residents!$M:$M,1),"")</f>
        <v/>
      </c>
    </row>
    <row r="156" spans="1:18" ht="15">
      <c r="A156" t="s">
        <v>41</v>
      </c>
      <c r="B156" t="s">
        <v>864</v>
      </c>
      <c r="E156" t="s">
        <v>465</v>
      </c>
      <c r="F156" t="str">
        <f>IF(F$5,COUNTIFS(Residents!$G:$G,$A156,Residents!$ID:$ID,1,Residents!$IF:$IF,1,Residents!$AH:$AH,1),"")</f>
        <v/>
      </c>
      <c r="G156" t="str">
        <f>IF(G$5,COUNTIFS(Residents!$G:$G,$A156,Residents!$ID:$ID,1,Residents!$IF:$IF,1,Residents!$AH:$AH,1),"")</f>
        <v/>
      </c>
      <c r="H156" t="str">
        <f>IF(H$5,COUNTIFS(Residents!$G:$G,$A156,Residents!$ID:$ID,1,Residents!$IF:$IF,1,Residents!$AH:$AH,1),"")</f>
        <v/>
      </c>
      <c r="I156" t="str">
        <f>IF(I$5,COUNTIFS(Residents!$G:$G,$A156,Residents!$ID:$ID,1,Residents!$IF:$IF,1,Residents!$AH:$AH,1),"")</f>
        <v/>
      </c>
      <c r="J156" t="str">
        <f>IF(J$5,COUNTIFS(Residents!$G:$G,$A156,Residents!$ID:$ID,1,Residents!$IF:$IF,1,Residents!$AH:$AH,1),"")</f>
        <v/>
      </c>
      <c r="K156" t="str">
        <f>IF(K$5,COUNTIFS(Residents!$G:$G,$A156,Residents!$ID:$ID,1,Residents!$IF:$IF,1,Residents!$AH:$AH,1),"")</f>
        <v/>
      </c>
      <c r="L156" t="str">
        <f>IF(L$5,COUNTIFS(Residents!$G:$G,$A156,Residents!$ID:$ID,1,Residents!$IF:$IF,1,Residents!$AH:$AH,1),"")</f>
        <v/>
      </c>
      <c r="M156" t="str">
        <f>IF(M$5,COUNTIFS(Residents!$G:$G,$A156,Residents!$ID:$ID,1,Residents!$IF:$IF,1,Residents!$AH:$AH,1),"")</f>
        <v/>
      </c>
      <c r="N156" t="str">
        <f>IF(N$5,COUNTIFS(Residents!$G:$G,$A156,Residents!$ID:$ID,1,Residents!$IF:$IF,1,Residents!$AH:$AH,1),"")</f>
        <v/>
      </c>
      <c r="O156" t="str">
        <f>IF(O$5,COUNTIFS(Residents!$G:$G,$A156,Residents!$ID:$ID,1,Residents!$IF:$IF,1,Residents!$AH:$AH,1),"")</f>
        <v/>
      </c>
      <c r="P156" t="str">
        <f>IF(P$5,COUNTIFS(Residents!$G:$G,$A156,Residents!$ID:$ID,1,Residents!$IF:$IF,1,Residents!$AH:$AH,1),"")</f>
        <v/>
      </c>
      <c r="Q156" t="str">
        <f>IF(Q$5,COUNTIFS(Residents!$G:$G,$A156,Residents!$ID:$ID,1,Residents!$IF:$IF,1,Residents!$AH:$AH,1),"")</f>
        <v/>
      </c>
      <c r="R156" t="str">
        <f>IF(R$5,COUNTIFS(Residents!$G:$G,$A156,Residents!$ID:$ID,1,Residents!$IF:$IF,1,Residents!$AH:$AH,1),"")</f>
        <v/>
      </c>
    </row>
    <row r="157" spans="1:18" ht="15">
      <c r="A157" t="s">
        <v>41</v>
      </c>
      <c r="B157" t="s">
        <v>865</v>
      </c>
      <c r="E157" t="s">
        <v>465</v>
      </c>
      <c r="F157" t="str">
        <f>IF(F$5,COUNTIFS(Residents!$G:$G,$A157,Residents!$ID:$ID,1,Residents!$IF:$IF,1,Residents!$AI:$AI,1),"")</f>
        <v/>
      </c>
      <c r="G157" t="str">
        <f>IF(G$5,COUNTIFS(Residents!$G:$G,$A157,Residents!$ID:$ID,1,Residents!$IF:$IF,1,Residents!$AI:$AI,1),"")</f>
        <v/>
      </c>
      <c r="H157" t="str">
        <f>IF(H$5,COUNTIFS(Residents!$G:$G,$A157,Residents!$ID:$ID,1,Residents!$IF:$IF,1,Residents!$AI:$AI,1),"")</f>
        <v/>
      </c>
      <c r="I157" t="str">
        <f>IF(I$5,COUNTIFS(Residents!$G:$G,$A157,Residents!$ID:$ID,1,Residents!$IF:$IF,1,Residents!$AI:$AI,1),"")</f>
        <v/>
      </c>
      <c r="J157" t="str">
        <f>IF(J$5,COUNTIFS(Residents!$G:$G,$A157,Residents!$ID:$ID,1,Residents!$IF:$IF,1,Residents!$AI:$AI,1),"")</f>
        <v/>
      </c>
      <c r="K157" t="str">
        <f>IF(K$5,COUNTIFS(Residents!$G:$G,$A157,Residents!$ID:$ID,1,Residents!$IF:$IF,1,Residents!$AI:$AI,1),"")</f>
        <v/>
      </c>
      <c r="L157" t="str">
        <f>IF(L$5,COUNTIFS(Residents!$G:$G,$A157,Residents!$ID:$ID,1,Residents!$IF:$IF,1,Residents!$AI:$AI,1),"")</f>
        <v/>
      </c>
      <c r="M157" t="str">
        <f>IF(M$5,COUNTIFS(Residents!$G:$G,$A157,Residents!$ID:$ID,1,Residents!$IF:$IF,1,Residents!$AI:$AI,1),"")</f>
        <v/>
      </c>
      <c r="N157" t="str">
        <f>IF(N$5,COUNTIFS(Residents!$G:$G,$A157,Residents!$ID:$ID,1,Residents!$IF:$IF,1,Residents!$AI:$AI,1),"")</f>
        <v/>
      </c>
      <c r="O157" t="str">
        <f>IF(O$5,COUNTIFS(Residents!$G:$G,$A157,Residents!$ID:$ID,1,Residents!$IF:$IF,1,Residents!$AI:$AI,1),"")</f>
        <v/>
      </c>
      <c r="P157" t="str">
        <f>IF(P$5,COUNTIFS(Residents!$G:$G,$A157,Residents!$ID:$ID,1,Residents!$IF:$IF,1,Residents!$AI:$AI,1),"")</f>
        <v/>
      </c>
      <c r="Q157" t="str">
        <f>IF(Q$5,COUNTIFS(Residents!$G:$G,$A157,Residents!$ID:$ID,1,Residents!$IF:$IF,1,Residents!$AI:$AI,1),"")</f>
        <v/>
      </c>
      <c r="R157" t="str">
        <f>IF(R$5,COUNTIFS(Residents!$G:$G,$A157,Residents!$ID:$ID,1,Residents!$IF:$IF,1,Residents!$AI:$AI,1),"")</f>
        <v/>
      </c>
    </row>
    <row r="158" spans="1:18" ht="15">
      <c r="A158" t="s">
        <v>41</v>
      </c>
      <c r="B158" t="s">
        <v>866</v>
      </c>
      <c r="E158" t="s">
        <v>465</v>
      </c>
      <c r="F158" t="str">
        <f>IF(F$5,COUNTIFS(Residents!$G:$G,$A158,Residents!$ID:$ID,1,Residents!$IN:$IN,1),"")</f>
        <v/>
      </c>
      <c r="G158" t="str">
        <f>IF(G$5,COUNTIFS(Residents!$G:$G,$A158,Residents!$ID:$ID,1,Residents!$IN:$IN,1),"")</f>
        <v/>
      </c>
      <c r="H158" t="str">
        <f>IF(H$5,COUNTIFS(Residents!$G:$G,$A158,Residents!$ID:$ID,1,Residents!$IN:$IN,1),"")</f>
        <v/>
      </c>
      <c r="I158" t="str">
        <f>IF(I$5,COUNTIFS(Residents!$G:$G,$A158,Residents!$ID:$ID,1,Residents!$IN:$IN,1),"")</f>
        <v/>
      </c>
      <c r="J158" t="str">
        <f>IF(J$5,COUNTIFS(Residents!$G:$G,$A158,Residents!$ID:$ID,1,Residents!$IN:$IN,1),"")</f>
        <v/>
      </c>
      <c r="K158" t="str">
        <f>IF(K$5,COUNTIFS(Residents!$G:$G,$A158,Residents!$ID:$ID,1,Residents!$IN:$IN,1),"")</f>
        <v/>
      </c>
      <c r="L158" t="str">
        <f>IF(L$5,COUNTIFS(Residents!$G:$G,$A158,Residents!$ID:$ID,1,Residents!$IN:$IN,1),"")</f>
        <v/>
      </c>
      <c r="M158" t="str">
        <f>IF(M$5,COUNTIFS(Residents!$G:$G,$A158,Residents!$ID:$ID,1,Residents!$IN:$IN,1),"")</f>
        <v/>
      </c>
      <c r="N158" t="str">
        <f>IF(N$5,COUNTIFS(Residents!$G:$G,$A158,Residents!$ID:$ID,1,Residents!$IN:$IN,1),"")</f>
        <v/>
      </c>
      <c r="O158" t="str">
        <f>IF(O$5,COUNTIFS(Residents!$G:$G,$A158,Residents!$ID:$ID,1,Residents!$IN:$IN,1),"")</f>
        <v/>
      </c>
      <c r="P158" t="str">
        <f>IF(P$5,COUNTIFS(Residents!$G:$G,$A158,Residents!$ID:$ID,1,Residents!$IN:$IN,1),"")</f>
        <v/>
      </c>
      <c r="Q158" t="str">
        <f>IF(Q$5,COUNTIFS(Residents!$G:$G,$A158,Residents!$ID:$ID,1,Residents!$IN:$IN,1),"")</f>
        <v/>
      </c>
      <c r="R158" t="str">
        <f>IF(R$5,COUNTIFS(Residents!$G:$G,$A158,Residents!$ID:$ID,1,Residents!$IN:$IN,1),"")</f>
        <v/>
      </c>
    </row>
    <row r="159" spans="1:18" ht="15">
      <c r="A159" t="s">
        <v>41</v>
      </c>
      <c r="B159" t="s">
        <v>867</v>
      </c>
      <c r="E159" t="s">
        <v>465</v>
      </c>
      <c r="F159" t="str">
        <f>IF(F$5,COUNTIFS(Residents!$G:$G,$A159,Residents!$ID:$ID,1,Residents!$BY:$BY,"&lt;&gt;"&amp;""),"")</f>
        <v/>
      </c>
      <c r="G159" t="str">
        <f>IF(G$5,COUNTIFS(Residents!$G:$G,$A159,Residents!$ID:$ID,1,Residents!$BY:$BY,"&lt;&gt;"&amp;""),"")</f>
        <v/>
      </c>
      <c r="H159" t="str">
        <f>IF(H$5,COUNTIFS(Residents!$G:$G,$A159,Residents!$ID:$ID,1,Residents!$BY:$BY,"&lt;&gt;"&amp;""),"")</f>
        <v/>
      </c>
      <c r="I159" t="str">
        <f>IF(I$5,COUNTIFS(Residents!$G:$G,$A159,Residents!$ID:$ID,1,Residents!$BY:$BY,"&lt;&gt;"&amp;""),"")</f>
        <v/>
      </c>
      <c r="J159" t="str">
        <f>IF(J$5,COUNTIFS(Residents!$G:$G,$A159,Residents!$ID:$ID,1,Residents!$BY:$BY,"&lt;&gt;"&amp;""),"")</f>
        <v/>
      </c>
      <c r="K159" t="str">
        <f>IF(K$5,COUNTIFS(Residents!$G:$G,$A159,Residents!$ID:$ID,1,Residents!$BY:$BY,"&lt;&gt;"&amp;""),"")</f>
        <v/>
      </c>
      <c r="L159" t="str">
        <f>IF(L$5,COUNTIFS(Residents!$G:$G,$A159,Residents!$ID:$ID,1,Residents!$BY:$BY,"&lt;&gt;"&amp;""),"")</f>
        <v/>
      </c>
      <c r="M159" t="str">
        <f>IF(M$5,COUNTIFS(Residents!$G:$G,$A159,Residents!$ID:$ID,1,Residents!$BY:$BY,"&lt;&gt;"&amp;""),"")</f>
        <v/>
      </c>
      <c r="N159" t="str">
        <f>IF(N$5,COUNTIFS(Residents!$G:$G,$A159,Residents!$ID:$ID,1,Residents!$BY:$BY,"&lt;&gt;"&amp;""),"")</f>
        <v/>
      </c>
      <c r="O159" t="str">
        <f>IF(O$5,COUNTIFS(Residents!$G:$G,$A159,Residents!$ID:$ID,1,Residents!$BY:$BY,"&lt;&gt;"&amp;""),"")</f>
        <v/>
      </c>
      <c r="P159" t="str">
        <f>IF(P$5,COUNTIFS(Residents!$G:$G,$A159,Residents!$ID:$ID,1,Residents!$BY:$BY,"&lt;&gt;"&amp;""),"")</f>
        <v/>
      </c>
      <c r="Q159" t="str">
        <f>IF(Q$5,COUNTIFS(Residents!$G:$G,$A159,Residents!$ID:$ID,1,Residents!$BY:$BY,"&lt;&gt;"&amp;""),"")</f>
        <v/>
      </c>
      <c r="R159" t="str">
        <f>IF(R$5,COUNTIFS(Residents!$G:$G,$A159,Residents!$ID:$ID,1,Residents!$BY:$BY,"&lt;&gt;"&amp;""),"")</f>
        <v/>
      </c>
    </row>
    <row r="160" spans="1:18" ht="15">
      <c r="A160" t="s">
        <v>41</v>
      </c>
      <c r="B160" t="str">
        <f>"Number of "&amp;C160&amp;" tracked this month"</f>
        <v>Number of Antianxiety Agents tracked this month</v>
      </c>
      <c r="C160" t="s">
        <v>101</v>
      </c>
      <c r="E160" t="s">
        <v>466</v>
      </c>
      <c r="F160" t="str">
        <f>IF(F$5,COUNTIFS(Medications!$AN:$AN,ReportAndOutcomeHistory!$A160,Medications!$AP:$AP,1,Medications!$D:$D,$C160),"")</f>
        <v/>
      </c>
      <c r="G160" t="str">
        <f>IF(G$5,COUNTIFS(Medications!$AN:$AN,ReportAndOutcomeHistory!$A160,Medications!$AP:$AP,1,Medications!$D:$D,$C160),"")</f>
        <v/>
      </c>
      <c r="H160" t="str">
        <f>IF(H$5,COUNTIFS(Medications!$AN:$AN,ReportAndOutcomeHistory!$A160,Medications!$AP:$AP,1,Medications!$D:$D,$C160),"")</f>
        <v/>
      </c>
      <c r="I160" t="str">
        <f>IF(I$5,COUNTIFS(Medications!$AN:$AN,ReportAndOutcomeHistory!$A160,Medications!$AP:$AP,1,Medications!$D:$D,$C160),"")</f>
        <v/>
      </c>
      <c r="J160" t="str">
        <f>IF(J$5,COUNTIFS(Medications!$AN:$AN,ReportAndOutcomeHistory!$A160,Medications!$AP:$AP,1,Medications!$D:$D,$C160),"")</f>
        <v/>
      </c>
      <c r="K160" t="str">
        <f>IF(K$5,COUNTIFS(Medications!$AN:$AN,ReportAndOutcomeHistory!$A160,Medications!$AP:$AP,1,Medications!$D:$D,$C160),"")</f>
        <v/>
      </c>
      <c r="L160" t="str">
        <f>IF(L$5,COUNTIFS(Medications!$AN:$AN,ReportAndOutcomeHistory!$A160,Medications!$AP:$AP,1,Medications!$D:$D,$C160),"")</f>
        <v/>
      </c>
      <c r="M160" t="str">
        <f>IF(M$5,COUNTIFS(Medications!$AN:$AN,ReportAndOutcomeHistory!$A160,Medications!$AP:$AP,1,Medications!$D:$D,$C160),"")</f>
        <v/>
      </c>
      <c r="N160" t="str">
        <f>IF(N$5,COUNTIFS(Medications!$AN:$AN,ReportAndOutcomeHistory!$A160,Medications!$AP:$AP,1,Medications!$D:$D,$C160),"")</f>
        <v/>
      </c>
      <c r="O160" t="str">
        <f>IF(O$5,COUNTIFS(Medications!$AN:$AN,ReportAndOutcomeHistory!$A160,Medications!$AP:$AP,1,Medications!$D:$D,$C160),"")</f>
        <v/>
      </c>
      <c r="P160" t="str">
        <f>IF(P$5,COUNTIFS(Medications!$AN:$AN,ReportAndOutcomeHistory!$A160,Medications!$AP:$AP,1,Medications!$D:$D,$C160),"")</f>
        <v/>
      </c>
      <c r="Q160" t="str">
        <f>IF(Q$5,COUNTIFS(Medications!$AN:$AN,ReportAndOutcomeHistory!$A160,Medications!$AP:$AP,1,Medications!$D:$D,$C160),"")</f>
        <v/>
      </c>
      <c r="R160" t="str">
        <f>IF(R$5,COUNTIFS(Medications!$AN:$AN,ReportAndOutcomeHistory!$A160,Medications!$AP:$AP,1,Medications!$D:$D,$C160),"")</f>
        <v/>
      </c>
    </row>
    <row r="161" spans="1:18" ht="15">
      <c r="A161" t="s">
        <v>41</v>
      </c>
      <c r="B161" t="str">
        <f aca="true" t="shared" si="34" ref="B161:B166">"Number of "&amp;C161&amp;" tracked this month"</f>
        <v>Number of Antidepressants tracked this month</v>
      </c>
      <c r="C161" t="s">
        <v>94</v>
      </c>
      <c r="E161" t="s">
        <v>466</v>
      </c>
      <c r="F161" t="str">
        <f>IF(F$5,COUNTIFS(Medications!$AN:$AN,ReportAndOutcomeHistory!$A161,Medications!$AP:$AP,1,Medications!$D:$D,$C161),"")</f>
        <v/>
      </c>
      <c r="G161" t="str">
        <f>IF(G$5,COUNTIFS(Medications!$AN:$AN,ReportAndOutcomeHistory!$A161,Medications!$AP:$AP,1,Medications!$D:$D,$C161),"")</f>
        <v/>
      </c>
      <c r="H161" t="str">
        <f>IF(H$5,COUNTIFS(Medications!$AN:$AN,ReportAndOutcomeHistory!$A161,Medications!$AP:$AP,1,Medications!$D:$D,$C161),"")</f>
        <v/>
      </c>
      <c r="I161" t="str">
        <f>IF(I$5,COUNTIFS(Medications!$AN:$AN,ReportAndOutcomeHistory!$A161,Medications!$AP:$AP,1,Medications!$D:$D,$C161),"")</f>
        <v/>
      </c>
      <c r="J161" t="str">
        <f>IF(J$5,COUNTIFS(Medications!$AN:$AN,ReportAndOutcomeHistory!$A161,Medications!$AP:$AP,1,Medications!$D:$D,$C161),"")</f>
        <v/>
      </c>
      <c r="K161" t="str">
        <f>IF(K$5,COUNTIFS(Medications!$AN:$AN,ReportAndOutcomeHistory!$A161,Medications!$AP:$AP,1,Medications!$D:$D,$C161),"")</f>
        <v/>
      </c>
      <c r="L161" t="str">
        <f>IF(L$5,COUNTIFS(Medications!$AN:$AN,ReportAndOutcomeHistory!$A161,Medications!$AP:$AP,1,Medications!$D:$D,$C161),"")</f>
        <v/>
      </c>
      <c r="M161" t="str">
        <f>IF(M$5,COUNTIFS(Medications!$AN:$AN,ReportAndOutcomeHistory!$A161,Medications!$AP:$AP,1,Medications!$D:$D,$C161),"")</f>
        <v/>
      </c>
      <c r="N161" t="str">
        <f>IF(N$5,COUNTIFS(Medications!$AN:$AN,ReportAndOutcomeHistory!$A161,Medications!$AP:$AP,1,Medications!$D:$D,$C161),"")</f>
        <v/>
      </c>
      <c r="O161" t="str">
        <f>IF(O$5,COUNTIFS(Medications!$AN:$AN,ReportAndOutcomeHistory!$A161,Medications!$AP:$AP,1,Medications!$D:$D,$C161),"")</f>
        <v/>
      </c>
      <c r="P161" t="str">
        <f>IF(P$5,COUNTIFS(Medications!$AN:$AN,ReportAndOutcomeHistory!$A161,Medications!$AP:$AP,1,Medications!$D:$D,$C161),"")</f>
        <v/>
      </c>
      <c r="Q161" t="str">
        <f>IF(Q$5,COUNTIFS(Medications!$AN:$AN,ReportAndOutcomeHistory!$A161,Medications!$AP:$AP,1,Medications!$D:$D,$C161),"")</f>
        <v/>
      </c>
      <c r="R161" t="str">
        <f>IF(R$5,COUNTIFS(Medications!$AN:$AN,ReportAndOutcomeHistory!$A161,Medications!$AP:$AP,1,Medications!$D:$D,$C161),"")</f>
        <v/>
      </c>
    </row>
    <row r="162" spans="1:18" ht="15">
      <c r="A162" t="s">
        <v>41</v>
      </c>
      <c r="B162" t="str">
        <f t="shared" si="34"/>
        <v>Number of Hypnotics/Sedatives/Sleep Disorder Agents tracked this month</v>
      </c>
      <c r="C162" t="s">
        <v>106</v>
      </c>
      <c r="E162" t="s">
        <v>466</v>
      </c>
      <c r="F162" t="str">
        <f>IF(F$5,COUNTIFS(Medications!$AN:$AN,ReportAndOutcomeHistory!$A162,Medications!$AP:$AP,1,Medications!$D:$D,$C162),"")</f>
        <v/>
      </c>
      <c r="G162" t="str">
        <f>IF(G$5,COUNTIFS(Medications!$AN:$AN,ReportAndOutcomeHistory!$A162,Medications!$AP:$AP,1,Medications!$D:$D,$C162),"")</f>
        <v/>
      </c>
      <c r="H162" t="str">
        <f>IF(H$5,COUNTIFS(Medications!$AN:$AN,ReportAndOutcomeHistory!$A162,Medications!$AP:$AP,1,Medications!$D:$D,$C162),"")</f>
        <v/>
      </c>
      <c r="I162" t="str">
        <f>IF(I$5,COUNTIFS(Medications!$AN:$AN,ReportAndOutcomeHistory!$A162,Medications!$AP:$AP,1,Medications!$D:$D,$C162),"")</f>
        <v/>
      </c>
      <c r="J162" t="str">
        <f>IF(J$5,COUNTIFS(Medications!$AN:$AN,ReportAndOutcomeHistory!$A162,Medications!$AP:$AP,1,Medications!$D:$D,$C162),"")</f>
        <v/>
      </c>
      <c r="K162" t="str">
        <f>IF(K$5,COUNTIFS(Medications!$AN:$AN,ReportAndOutcomeHistory!$A162,Medications!$AP:$AP,1,Medications!$D:$D,$C162),"")</f>
        <v/>
      </c>
      <c r="L162" t="str">
        <f>IF(L$5,COUNTIFS(Medications!$AN:$AN,ReportAndOutcomeHistory!$A162,Medications!$AP:$AP,1,Medications!$D:$D,$C162),"")</f>
        <v/>
      </c>
      <c r="M162" t="str">
        <f>IF(M$5,COUNTIFS(Medications!$AN:$AN,ReportAndOutcomeHistory!$A162,Medications!$AP:$AP,1,Medications!$D:$D,$C162),"")</f>
        <v/>
      </c>
      <c r="N162" t="str">
        <f>IF(N$5,COUNTIFS(Medications!$AN:$AN,ReportAndOutcomeHistory!$A162,Medications!$AP:$AP,1,Medications!$D:$D,$C162),"")</f>
        <v/>
      </c>
      <c r="O162" t="str">
        <f>IF(O$5,COUNTIFS(Medications!$AN:$AN,ReportAndOutcomeHistory!$A162,Medications!$AP:$AP,1,Medications!$D:$D,$C162),"")</f>
        <v/>
      </c>
      <c r="P162" t="str">
        <f>IF(P$5,COUNTIFS(Medications!$AN:$AN,ReportAndOutcomeHistory!$A162,Medications!$AP:$AP,1,Medications!$D:$D,$C162),"")</f>
        <v/>
      </c>
      <c r="Q162" t="str">
        <f>IF(Q$5,COUNTIFS(Medications!$AN:$AN,ReportAndOutcomeHistory!$A162,Medications!$AP:$AP,1,Medications!$D:$D,$C162),"")</f>
        <v/>
      </c>
      <c r="R162" t="str">
        <f>IF(R$5,COUNTIFS(Medications!$AN:$AN,ReportAndOutcomeHistory!$A162,Medications!$AP:$AP,1,Medications!$D:$D,$C162),"")</f>
        <v/>
      </c>
    </row>
    <row r="163" spans="1:18" ht="15">
      <c r="A163" t="s">
        <v>41</v>
      </c>
      <c r="B163" t="str">
        <f t="shared" si="34"/>
        <v>Number of Antipsychotics/Antimanic Agents tracked this month</v>
      </c>
      <c r="C163" t="s">
        <v>109</v>
      </c>
      <c r="E163" t="s">
        <v>466</v>
      </c>
      <c r="F163" t="str">
        <f>IF(F$5,COUNTIFS(Medications!$AN:$AN,ReportAndOutcomeHistory!$A163,Medications!$AP:$AP,1,Medications!$D:$D,$C163),"")</f>
        <v/>
      </c>
      <c r="G163" t="str">
        <f>IF(G$5,COUNTIFS(Medications!$AN:$AN,ReportAndOutcomeHistory!$A163,Medications!$AP:$AP,1,Medications!$D:$D,$C163),"")</f>
        <v/>
      </c>
      <c r="H163" t="str">
        <f>IF(H$5,COUNTIFS(Medications!$AN:$AN,ReportAndOutcomeHistory!$A163,Medications!$AP:$AP,1,Medications!$D:$D,$C163),"")</f>
        <v/>
      </c>
      <c r="I163" t="str">
        <f>IF(I$5,COUNTIFS(Medications!$AN:$AN,ReportAndOutcomeHistory!$A163,Medications!$AP:$AP,1,Medications!$D:$D,$C163),"")</f>
        <v/>
      </c>
      <c r="J163" t="str">
        <f>IF(J$5,COUNTIFS(Medications!$AN:$AN,ReportAndOutcomeHistory!$A163,Medications!$AP:$AP,1,Medications!$D:$D,$C163),"")</f>
        <v/>
      </c>
      <c r="K163" t="str">
        <f>IF(K$5,COUNTIFS(Medications!$AN:$AN,ReportAndOutcomeHistory!$A163,Medications!$AP:$AP,1,Medications!$D:$D,$C163),"")</f>
        <v/>
      </c>
      <c r="L163" t="str">
        <f>IF(L$5,COUNTIFS(Medications!$AN:$AN,ReportAndOutcomeHistory!$A163,Medications!$AP:$AP,1,Medications!$D:$D,$C163),"")</f>
        <v/>
      </c>
      <c r="M163" t="str">
        <f>IF(M$5,COUNTIFS(Medications!$AN:$AN,ReportAndOutcomeHistory!$A163,Medications!$AP:$AP,1,Medications!$D:$D,$C163),"")</f>
        <v/>
      </c>
      <c r="N163" t="str">
        <f>IF(N$5,COUNTIFS(Medications!$AN:$AN,ReportAndOutcomeHistory!$A163,Medications!$AP:$AP,1,Medications!$D:$D,$C163),"")</f>
        <v/>
      </c>
      <c r="O163" t="str">
        <f>IF(O$5,COUNTIFS(Medications!$AN:$AN,ReportAndOutcomeHistory!$A163,Medications!$AP:$AP,1,Medications!$D:$D,$C163),"")</f>
        <v/>
      </c>
      <c r="P163" t="str">
        <f>IF(P$5,COUNTIFS(Medications!$AN:$AN,ReportAndOutcomeHistory!$A163,Medications!$AP:$AP,1,Medications!$D:$D,$C163),"")</f>
        <v/>
      </c>
      <c r="Q163" t="str">
        <f>IF(Q$5,COUNTIFS(Medications!$AN:$AN,ReportAndOutcomeHistory!$A163,Medications!$AP:$AP,1,Medications!$D:$D,$C163),"")</f>
        <v/>
      </c>
      <c r="R163" t="str">
        <f>IF(R$5,COUNTIFS(Medications!$AN:$AN,ReportAndOutcomeHistory!$A163,Medications!$AP:$AP,1,Medications!$D:$D,$C163),"")</f>
        <v/>
      </c>
    </row>
    <row r="164" spans="1:18" ht="15">
      <c r="A164" t="s">
        <v>41</v>
      </c>
      <c r="B164" t="str">
        <f t="shared" si="34"/>
        <v>Number of Psychotherapeutic And Neurological Agents - Misc. tracked this month</v>
      </c>
      <c r="C164" t="s">
        <v>164</v>
      </c>
      <c r="E164" t="s">
        <v>466</v>
      </c>
      <c r="F164" t="str">
        <f>IF(F$5,COUNTIFS(Medications!$AN:$AN,ReportAndOutcomeHistory!$A164,Medications!$AP:$AP,1,Medications!$D:$D,$C164),"")</f>
        <v/>
      </c>
      <c r="G164" t="str">
        <f>IF(G$5,COUNTIFS(Medications!$AN:$AN,ReportAndOutcomeHistory!$A164,Medications!$AP:$AP,1,Medications!$D:$D,$C164),"")</f>
        <v/>
      </c>
      <c r="H164" t="str">
        <f>IF(H$5,COUNTIFS(Medications!$AN:$AN,ReportAndOutcomeHistory!$A164,Medications!$AP:$AP,1,Medications!$D:$D,$C164),"")</f>
        <v/>
      </c>
      <c r="I164" t="str">
        <f>IF(I$5,COUNTIFS(Medications!$AN:$AN,ReportAndOutcomeHistory!$A164,Medications!$AP:$AP,1,Medications!$D:$D,$C164),"")</f>
        <v/>
      </c>
      <c r="J164" t="str">
        <f>IF(J$5,COUNTIFS(Medications!$AN:$AN,ReportAndOutcomeHistory!$A164,Medications!$AP:$AP,1,Medications!$D:$D,$C164),"")</f>
        <v/>
      </c>
      <c r="K164" t="str">
        <f>IF(K$5,COUNTIFS(Medications!$AN:$AN,ReportAndOutcomeHistory!$A164,Medications!$AP:$AP,1,Medications!$D:$D,$C164),"")</f>
        <v/>
      </c>
      <c r="L164" t="str">
        <f>IF(L$5,COUNTIFS(Medications!$AN:$AN,ReportAndOutcomeHistory!$A164,Medications!$AP:$AP,1,Medications!$D:$D,$C164),"")</f>
        <v/>
      </c>
      <c r="M164" t="str">
        <f>IF(M$5,COUNTIFS(Medications!$AN:$AN,ReportAndOutcomeHistory!$A164,Medications!$AP:$AP,1,Medications!$D:$D,$C164),"")</f>
        <v/>
      </c>
      <c r="N164" t="str">
        <f>IF(N$5,COUNTIFS(Medications!$AN:$AN,ReportAndOutcomeHistory!$A164,Medications!$AP:$AP,1,Medications!$D:$D,$C164),"")</f>
        <v/>
      </c>
      <c r="O164" t="str">
        <f>IF(O$5,COUNTIFS(Medications!$AN:$AN,ReportAndOutcomeHistory!$A164,Medications!$AP:$AP,1,Medications!$D:$D,$C164),"")</f>
        <v/>
      </c>
      <c r="P164" t="str">
        <f>IF(P$5,COUNTIFS(Medications!$AN:$AN,ReportAndOutcomeHistory!$A164,Medications!$AP:$AP,1,Medications!$D:$D,$C164),"")</f>
        <v/>
      </c>
      <c r="Q164" t="str">
        <f>IF(Q$5,COUNTIFS(Medications!$AN:$AN,ReportAndOutcomeHistory!$A164,Medications!$AP:$AP,1,Medications!$D:$D,$C164),"")</f>
        <v/>
      </c>
      <c r="R164" t="str">
        <f>IF(R$5,COUNTIFS(Medications!$AN:$AN,ReportAndOutcomeHistory!$A164,Medications!$AP:$AP,1,Medications!$D:$D,$C164),"")</f>
        <v/>
      </c>
    </row>
    <row r="165" spans="1:18" ht="15">
      <c r="A165" t="s">
        <v>41</v>
      </c>
      <c r="B165" t="str">
        <f t="shared" si="34"/>
        <v>Number of Other tracked this month</v>
      </c>
      <c r="C165" t="s">
        <v>27</v>
      </c>
      <c r="E165" t="s">
        <v>466</v>
      </c>
      <c r="F165" t="str">
        <f>IF(F$5,COUNTIFS(Medications!$AN:$AN,ReportAndOutcomeHistory!$A165,Medications!$AP:$AP,1,Medications!$D:$D,$C165),"")</f>
        <v/>
      </c>
      <c r="G165" t="str">
        <f>IF(G$5,COUNTIFS(Medications!$AN:$AN,ReportAndOutcomeHistory!$A165,Medications!$AP:$AP,1,Medications!$D:$D,$C165),"")</f>
        <v/>
      </c>
      <c r="H165" t="str">
        <f>IF(H$5,COUNTIFS(Medications!$AN:$AN,ReportAndOutcomeHistory!$A165,Medications!$AP:$AP,1,Medications!$D:$D,$C165),"")</f>
        <v/>
      </c>
      <c r="I165" t="str">
        <f>IF(I$5,COUNTIFS(Medications!$AN:$AN,ReportAndOutcomeHistory!$A165,Medications!$AP:$AP,1,Medications!$D:$D,$C165),"")</f>
        <v/>
      </c>
      <c r="J165" t="str">
        <f>IF(J$5,COUNTIFS(Medications!$AN:$AN,ReportAndOutcomeHistory!$A165,Medications!$AP:$AP,1,Medications!$D:$D,$C165),"")</f>
        <v/>
      </c>
      <c r="K165" t="str">
        <f>IF(K$5,COUNTIFS(Medications!$AN:$AN,ReportAndOutcomeHistory!$A165,Medications!$AP:$AP,1,Medications!$D:$D,$C165),"")</f>
        <v/>
      </c>
      <c r="L165" t="str">
        <f>IF(L$5,COUNTIFS(Medications!$AN:$AN,ReportAndOutcomeHistory!$A165,Medications!$AP:$AP,1,Medications!$D:$D,$C165),"")</f>
        <v/>
      </c>
      <c r="M165" t="str">
        <f>IF(M$5,COUNTIFS(Medications!$AN:$AN,ReportAndOutcomeHistory!$A165,Medications!$AP:$AP,1,Medications!$D:$D,$C165),"")</f>
        <v/>
      </c>
      <c r="N165" t="str">
        <f>IF(N$5,COUNTIFS(Medications!$AN:$AN,ReportAndOutcomeHistory!$A165,Medications!$AP:$AP,1,Medications!$D:$D,$C165),"")</f>
        <v/>
      </c>
      <c r="O165" t="str">
        <f>IF(O$5,COUNTIFS(Medications!$AN:$AN,ReportAndOutcomeHistory!$A165,Medications!$AP:$AP,1,Medications!$D:$D,$C165),"")</f>
        <v/>
      </c>
      <c r="P165" t="str">
        <f>IF(P$5,COUNTIFS(Medications!$AN:$AN,ReportAndOutcomeHistory!$A165,Medications!$AP:$AP,1,Medications!$D:$D,$C165),"")</f>
        <v/>
      </c>
      <c r="Q165" t="str">
        <f>IF(Q$5,COUNTIFS(Medications!$AN:$AN,ReportAndOutcomeHistory!$A165,Medications!$AP:$AP,1,Medications!$D:$D,$C165),"")</f>
        <v/>
      </c>
      <c r="R165" t="str">
        <f>IF(R$5,COUNTIFS(Medications!$AN:$AN,ReportAndOutcomeHistory!$A165,Medications!$AP:$AP,1,Medications!$D:$D,$C165),"")</f>
        <v/>
      </c>
    </row>
    <row r="166" spans="1:18" ht="15">
      <c r="A166" t="s">
        <v>41</v>
      </c>
      <c r="B166" t="str">
        <f t="shared" si="34"/>
        <v>Number of Unknown tracked this month</v>
      </c>
      <c r="C166" t="s">
        <v>405</v>
      </c>
      <c r="E166" t="s">
        <v>466</v>
      </c>
      <c r="F166" t="str">
        <f>IF(F$5,COUNTIFS(Medications!$AN:$AN,ReportAndOutcomeHistory!$A166,Medications!$AP:$AP,1,Medications!$D:$D,$C166),"")</f>
        <v/>
      </c>
      <c r="G166" t="str">
        <f>IF(G$5,COUNTIFS(Medications!$AN:$AN,ReportAndOutcomeHistory!$A166,Medications!$AP:$AP,1,Medications!$D:$D,$C166),"")</f>
        <v/>
      </c>
      <c r="H166" t="str">
        <f>IF(H$5,COUNTIFS(Medications!$AN:$AN,ReportAndOutcomeHistory!$A166,Medications!$AP:$AP,1,Medications!$D:$D,$C166),"")</f>
        <v/>
      </c>
      <c r="I166" t="str">
        <f>IF(I$5,COUNTIFS(Medications!$AN:$AN,ReportAndOutcomeHistory!$A166,Medications!$AP:$AP,1,Medications!$D:$D,$C166),"")</f>
        <v/>
      </c>
      <c r="J166" t="str">
        <f>IF(J$5,COUNTIFS(Medications!$AN:$AN,ReportAndOutcomeHistory!$A166,Medications!$AP:$AP,1,Medications!$D:$D,$C166),"")</f>
        <v/>
      </c>
      <c r="K166" t="str">
        <f>IF(K$5,COUNTIFS(Medications!$AN:$AN,ReportAndOutcomeHistory!$A166,Medications!$AP:$AP,1,Medications!$D:$D,$C166),"")</f>
        <v/>
      </c>
      <c r="L166" t="str">
        <f>IF(L$5,COUNTIFS(Medications!$AN:$AN,ReportAndOutcomeHistory!$A166,Medications!$AP:$AP,1,Medications!$D:$D,$C166),"")</f>
        <v/>
      </c>
      <c r="M166" t="str">
        <f>IF(M$5,COUNTIFS(Medications!$AN:$AN,ReportAndOutcomeHistory!$A166,Medications!$AP:$AP,1,Medications!$D:$D,$C166),"")</f>
        <v/>
      </c>
      <c r="N166" t="str">
        <f>IF(N$5,COUNTIFS(Medications!$AN:$AN,ReportAndOutcomeHistory!$A166,Medications!$AP:$AP,1,Medications!$D:$D,$C166),"")</f>
        <v/>
      </c>
      <c r="O166" t="str">
        <f>IF(O$5,COUNTIFS(Medications!$AN:$AN,ReportAndOutcomeHistory!$A166,Medications!$AP:$AP,1,Medications!$D:$D,$C166),"")</f>
        <v/>
      </c>
      <c r="P166" t="str">
        <f>IF(P$5,COUNTIFS(Medications!$AN:$AN,ReportAndOutcomeHistory!$A166,Medications!$AP:$AP,1,Medications!$D:$D,$C166),"")</f>
        <v/>
      </c>
      <c r="Q166" t="str">
        <f>IF(Q$5,COUNTIFS(Medications!$AN:$AN,ReportAndOutcomeHistory!$A166,Medications!$AP:$AP,1,Medications!$D:$D,$C166),"")</f>
        <v/>
      </c>
      <c r="R166" t="str">
        <f>IF(R$5,COUNTIFS(Medications!$AN:$AN,ReportAndOutcomeHistory!$A166,Medications!$AP:$AP,1,Medications!$D:$D,$C166),"")</f>
        <v/>
      </c>
    </row>
    <row r="167" spans="1:18" ht="15">
      <c r="A167" t="s">
        <v>41</v>
      </c>
      <c r="B167" t="s">
        <v>899</v>
      </c>
      <c r="E167" t="s">
        <v>466</v>
      </c>
      <c r="F167" t="str">
        <f>IF(F$5,COUNTIFS(Medications!$AN:$AN,ReportAndOutcomeHistory!$A167,Medications!$AP:$AP,1,Medications!$O:$O,1),"")</f>
        <v/>
      </c>
      <c r="G167" t="str">
        <f>IF(G$5,COUNTIFS(Medications!$AN:$AN,ReportAndOutcomeHistory!$A167,Medications!$AP:$AP,1,Medications!$O:$O,1),"")</f>
        <v/>
      </c>
      <c r="H167" t="str">
        <f>IF(H$5,COUNTIFS(Medications!$AN:$AN,ReportAndOutcomeHistory!$A167,Medications!$AP:$AP,1,Medications!$O:$O,1),"")</f>
        <v/>
      </c>
      <c r="I167" t="str">
        <f>IF(I$5,COUNTIFS(Medications!$AN:$AN,ReportAndOutcomeHistory!$A167,Medications!$AP:$AP,1,Medications!$O:$O,1),"")</f>
        <v/>
      </c>
      <c r="J167" t="str">
        <f>IF(J$5,COUNTIFS(Medications!$AN:$AN,ReportAndOutcomeHistory!$A167,Medications!$AP:$AP,1,Medications!$O:$O,1),"")</f>
        <v/>
      </c>
      <c r="K167" t="str">
        <f>IF(K$5,COUNTIFS(Medications!$AN:$AN,ReportAndOutcomeHistory!$A167,Medications!$AP:$AP,1,Medications!$O:$O,1),"")</f>
        <v/>
      </c>
      <c r="L167" t="str">
        <f>IF(L$5,COUNTIFS(Medications!$AN:$AN,ReportAndOutcomeHistory!$A167,Medications!$AP:$AP,1,Medications!$O:$O,1),"")</f>
        <v/>
      </c>
      <c r="M167" t="str">
        <f>IF(M$5,COUNTIFS(Medications!$AN:$AN,ReportAndOutcomeHistory!$A167,Medications!$AP:$AP,1,Medications!$O:$O,1),"")</f>
        <v/>
      </c>
      <c r="N167" t="str">
        <f>IF(N$5,COUNTIFS(Medications!$AN:$AN,ReportAndOutcomeHistory!$A167,Medications!$AP:$AP,1,Medications!$O:$O,1),"")</f>
        <v/>
      </c>
      <c r="O167" t="str">
        <f>IF(O$5,COUNTIFS(Medications!$AN:$AN,ReportAndOutcomeHistory!$A167,Medications!$AP:$AP,1,Medications!$O:$O,1),"")</f>
        <v/>
      </c>
      <c r="P167" t="str">
        <f>IF(P$5,COUNTIFS(Medications!$AN:$AN,ReportAndOutcomeHistory!$A167,Medications!$AP:$AP,1,Medications!$O:$O,1),"")</f>
        <v/>
      </c>
      <c r="Q167" t="str">
        <f>IF(Q$5,COUNTIFS(Medications!$AN:$AN,ReportAndOutcomeHistory!$A167,Medications!$AP:$AP,1,Medications!$O:$O,1),"")</f>
        <v/>
      </c>
      <c r="R167" t="str">
        <f>IF(R$5,COUNTIFS(Medications!$AN:$AN,ReportAndOutcomeHistory!$A167,Medications!$AP:$AP,1,Medications!$O:$O,1),"")</f>
        <v/>
      </c>
    </row>
    <row r="168" spans="1:18" ht="15">
      <c r="A168" t="s">
        <v>41</v>
      </c>
      <c r="B168" t="str">
        <f>"Number of PRN "&amp;C168&amp;" tracked this month"</f>
        <v>Number of PRN Antianxiety Agents tracked this month</v>
      </c>
      <c r="C168" t="s">
        <v>101</v>
      </c>
      <c r="E168" t="s">
        <v>466</v>
      </c>
      <c r="F168" t="str">
        <f>IF(F$5,COUNTIFS(Medications!$AN:$AN,ReportAndOutcomeHistory!$A168,Medications!$AP:$AP,1,Medications!$D:$D,$C168,Medications!$O:$O,1),"")</f>
        <v/>
      </c>
      <c r="G168" t="str">
        <f>IF(G$5,COUNTIFS(Medications!$AN:$AN,ReportAndOutcomeHistory!$A168,Medications!$AP:$AP,1,Medications!$D:$D,$C168,Medications!$O:$O,1),"")</f>
        <v/>
      </c>
      <c r="H168" t="str">
        <f>IF(H$5,COUNTIFS(Medications!$AN:$AN,ReportAndOutcomeHistory!$A168,Medications!$AP:$AP,1,Medications!$D:$D,$C168,Medications!$O:$O,1),"")</f>
        <v/>
      </c>
      <c r="I168" t="str">
        <f>IF(I$5,COUNTIFS(Medications!$AN:$AN,ReportAndOutcomeHistory!$A168,Medications!$AP:$AP,1,Medications!$D:$D,$C168,Medications!$O:$O,1),"")</f>
        <v/>
      </c>
      <c r="J168" t="str">
        <f>IF(J$5,COUNTIFS(Medications!$AN:$AN,ReportAndOutcomeHistory!$A168,Medications!$AP:$AP,1,Medications!$D:$D,$C168,Medications!$O:$O,1),"")</f>
        <v/>
      </c>
      <c r="K168" t="str">
        <f>IF(K$5,COUNTIFS(Medications!$AN:$AN,ReportAndOutcomeHistory!$A168,Medications!$AP:$AP,1,Medications!$D:$D,$C168,Medications!$O:$O,1),"")</f>
        <v/>
      </c>
      <c r="L168" t="str">
        <f>IF(L$5,COUNTIFS(Medications!$AN:$AN,ReportAndOutcomeHistory!$A168,Medications!$AP:$AP,1,Medications!$D:$D,$C168,Medications!$O:$O,1),"")</f>
        <v/>
      </c>
      <c r="M168" t="str">
        <f>IF(M$5,COUNTIFS(Medications!$AN:$AN,ReportAndOutcomeHistory!$A168,Medications!$AP:$AP,1,Medications!$D:$D,$C168,Medications!$O:$O,1),"")</f>
        <v/>
      </c>
      <c r="N168" t="str">
        <f>IF(N$5,COUNTIFS(Medications!$AN:$AN,ReportAndOutcomeHistory!$A168,Medications!$AP:$AP,1,Medications!$D:$D,$C168,Medications!$O:$O,1),"")</f>
        <v/>
      </c>
      <c r="O168" t="str">
        <f>IF(O$5,COUNTIFS(Medications!$AN:$AN,ReportAndOutcomeHistory!$A168,Medications!$AP:$AP,1,Medications!$D:$D,$C168,Medications!$O:$O,1),"")</f>
        <v/>
      </c>
      <c r="P168" t="str">
        <f>IF(P$5,COUNTIFS(Medications!$AN:$AN,ReportAndOutcomeHistory!$A168,Medications!$AP:$AP,1,Medications!$D:$D,$C168,Medications!$O:$O,1),"")</f>
        <v/>
      </c>
      <c r="Q168" t="str">
        <f>IF(Q$5,COUNTIFS(Medications!$AN:$AN,ReportAndOutcomeHistory!$A168,Medications!$AP:$AP,1,Medications!$D:$D,$C168,Medications!$O:$O,1),"")</f>
        <v/>
      </c>
      <c r="R168" t="str">
        <f>IF(R$5,COUNTIFS(Medications!$AN:$AN,ReportAndOutcomeHistory!$A168,Medications!$AP:$AP,1,Medications!$D:$D,$C168,Medications!$O:$O,1),"")</f>
        <v/>
      </c>
    </row>
    <row r="169" spans="1:18" ht="15">
      <c r="A169" t="s">
        <v>41</v>
      </c>
      <c r="B169" t="str">
        <f aca="true" t="shared" si="35" ref="B169:B174">"Number of PRN "&amp;C169&amp;" tracked this month"</f>
        <v>Number of PRN Antidepressants tracked this month</v>
      </c>
      <c r="C169" t="s">
        <v>94</v>
      </c>
      <c r="E169" t="s">
        <v>466</v>
      </c>
      <c r="F169" t="str">
        <f>IF(F$5,COUNTIFS(Medications!$AN:$AN,ReportAndOutcomeHistory!$A169,Medications!$AP:$AP,1,Medications!$D:$D,$C169,Medications!$O:$O,1),"")</f>
        <v/>
      </c>
      <c r="G169" t="str">
        <f>IF(G$5,COUNTIFS(Medications!$AN:$AN,ReportAndOutcomeHistory!$A169,Medications!$AP:$AP,1,Medications!$D:$D,$C169,Medications!$O:$O,1),"")</f>
        <v/>
      </c>
      <c r="H169" t="str">
        <f>IF(H$5,COUNTIFS(Medications!$AN:$AN,ReportAndOutcomeHistory!$A169,Medications!$AP:$AP,1,Medications!$D:$D,$C169,Medications!$O:$O,1),"")</f>
        <v/>
      </c>
      <c r="I169" t="str">
        <f>IF(I$5,COUNTIFS(Medications!$AN:$AN,ReportAndOutcomeHistory!$A169,Medications!$AP:$AP,1,Medications!$D:$D,$C169,Medications!$O:$O,1),"")</f>
        <v/>
      </c>
      <c r="J169" t="str">
        <f>IF(J$5,COUNTIFS(Medications!$AN:$AN,ReportAndOutcomeHistory!$A169,Medications!$AP:$AP,1,Medications!$D:$D,$C169,Medications!$O:$O,1),"")</f>
        <v/>
      </c>
      <c r="K169" t="str">
        <f>IF(K$5,COUNTIFS(Medications!$AN:$AN,ReportAndOutcomeHistory!$A169,Medications!$AP:$AP,1,Medications!$D:$D,$C169,Medications!$O:$O,1),"")</f>
        <v/>
      </c>
      <c r="L169" t="str">
        <f>IF(L$5,COUNTIFS(Medications!$AN:$AN,ReportAndOutcomeHistory!$A169,Medications!$AP:$AP,1,Medications!$D:$D,$C169,Medications!$O:$O,1),"")</f>
        <v/>
      </c>
      <c r="M169" t="str">
        <f>IF(M$5,COUNTIFS(Medications!$AN:$AN,ReportAndOutcomeHistory!$A169,Medications!$AP:$AP,1,Medications!$D:$D,$C169,Medications!$O:$O,1),"")</f>
        <v/>
      </c>
      <c r="N169" t="str">
        <f>IF(N$5,COUNTIFS(Medications!$AN:$AN,ReportAndOutcomeHistory!$A169,Medications!$AP:$AP,1,Medications!$D:$D,$C169,Medications!$O:$O,1),"")</f>
        <v/>
      </c>
      <c r="O169" t="str">
        <f>IF(O$5,COUNTIFS(Medications!$AN:$AN,ReportAndOutcomeHistory!$A169,Medications!$AP:$AP,1,Medications!$D:$D,$C169,Medications!$O:$O,1),"")</f>
        <v/>
      </c>
      <c r="P169" t="str">
        <f>IF(P$5,COUNTIFS(Medications!$AN:$AN,ReportAndOutcomeHistory!$A169,Medications!$AP:$AP,1,Medications!$D:$D,$C169,Medications!$O:$O,1),"")</f>
        <v/>
      </c>
      <c r="Q169" t="str">
        <f>IF(Q$5,COUNTIFS(Medications!$AN:$AN,ReportAndOutcomeHistory!$A169,Medications!$AP:$AP,1,Medications!$D:$D,$C169,Medications!$O:$O,1),"")</f>
        <v/>
      </c>
      <c r="R169" t="str">
        <f>IF(R$5,COUNTIFS(Medications!$AN:$AN,ReportAndOutcomeHistory!$A169,Medications!$AP:$AP,1,Medications!$D:$D,$C169,Medications!$O:$O,1),"")</f>
        <v/>
      </c>
    </row>
    <row r="170" spans="1:18" ht="15">
      <c r="A170" t="s">
        <v>41</v>
      </c>
      <c r="B170" t="str">
        <f t="shared" si="35"/>
        <v>Number of PRN Hypnotics/Sedatives/Sleep Disorder Agents tracked this month</v>
      </c>
      <c r="C170" t="s">
        <v>106</v>
      </c>
      <c r="E170" t="s">
        <v>466</v>
      </c>
      <c r="F170" t="str">
        <f>IF(F$5,COUNTIFS(Medications!$AN:$AN,ReportAndOutcomeHistory!$A170,Medications!$AP:$AP,1,Medications!$D:$D,$C170,Medications!$O:$O,1),"")</f>
        <v/>
      </c>
      <c r="G170" t="str">
        <f>IF(G$5,COUNTIFS(Medications!$AN:$AN,ReportAndOutcomeHistory!$A170,Medications!$AP:$AP,1,Medications!$D:$D,$C170,Medications!$O:$O,1),"")</f>
        <v/>
      </c>
      <c r="H170" t="str">
        <f>IF(H$5,COUNTIFS(Medications!$AN:$AN,ReportAndOutcomeHistory!$A170,Medications!$AP:$AP,1,Medications!$D:$D,$C170,Medications!$O:$O,1),"")</f>
        <v/>
      </c>
      <c r="I170" t="str">
        <f>IF(I$5,COUNTIFS(Medications!$AN:$AN,ReportAndOutcomeHistory!$A170,Medications!$AP:$AP,1,Medications!$D:$D,$C170,Medications!$O:$O,1),"")</f>
        <v/>
      </c>
      <c r="J170" t="str">
        <f>IF(J$5,COUNTIFS(Medications!$AN:$AN,ReportAndOutcomeHistory!$A170,Medications!$AP:$AP,1,Medications!$D:$D,$C170,Medications!$O:$O,1),"")</f>
        <v/>
      </c>
      <c r="K170" t="str">
        <f>IF(K$5,COUNTIFS(Medications!$AN:$AN,ReportAndOutcomeHistory!$A170,Medications!$AP:$AP,1,Medications!$D:$D,$C170,Medications!$O:$O,1),"")</f>
        <v/>
      </c>
      <c r="L170" t="str">
        <f>IF(L$5,COUNTIFS(Medications!$AN:$AN,ReportAndOutcomeHistory!$A170,Medications!$AP:$AP,1,Medications!$D:$D,$C170,Medications!$O:$O,1),"")</f>
        <v/>
      </c>
      <c r="M170" t="str">
        <f>IF(M$5,COUNTIFS(Medications!$AN:$AN,ReportAndOutcomeHistory!$A170,Medications!$AP:$AP,1,Medications!$D:$D,$C170,Medications!$O:$O,1),"")</f>
        <v/>
      </c>
      <c r="N170" t="str">
        <f>IF(N$5,COUNTIFS(Medications!$AN:$AN,ReportAndOutcomeHistory!$A170,Medications!$AP:$AP,1,Medications!$D:$D,$C170,Medications!$O:$O,1),"")</f>
        <v/>
      </c>
      <c r="O170" t="str">
        <f>IF(O$5,COUNTIFS(Medications!$AN:$AN,ReportAndOutcomeHistory!$A170,Medications!$AP:$AP,1,Medications!$D:$D,$C170,Medications!$O:$O,1),"")</f>
        <v/>
      </c>
      <c r="P170" t="str">
        <f>IF(P$5,COUNTIFS(Medications!$AN:$AN,ReportAndOutcomeHistory!$A170,Medications!$AP:$AP,1,Medications!$D:$D,$C170,Medications!$O:$O,1),"")</f>
        <v/>
      </c>
      <c r="Q170" t="str">
        <f>IF(Q$5,COUNTIFS(Medications!$AN:$AN,ReportAndOutcomeHistory!$A170,Medications!$AP:$AP,1,Medications!$D:$D,$C170,Medications!$O:$O,1),"")</f>
        <v/>
      </c>
      <c r="R170" t="str">
        <f>IF(R$5,COUNTIFS(Medications!$AN:$AN,ReportAndOutcomeHistory!$A170,Medications!$AP:$AP,1,Medications!$D:$D,$C170,Medications!$O:$O,1),"")</f>
        <v/>
      </c>
    </row>
    <row r="171" spans="1:18" ht="15">
      <c r="A171" t="s">
        <v>41</v>
      </c>
      <c r="B171" t="str">
        <f t="shared" si="35"/>
        <v>Number of PRN Antipsychotics/Antimanic Agents tracked this month</v>
      </c>
      <c r="C171" t="s">
        <v>109</v>
      </c>
      <c r="E171" t="s">
        <v>466</v>
      </c>
      <c r="F171" t="str">
        <f>IF(F$5,COUNTIFS(Medications!$AN:$AN,ReportAndOutcomeHistory!$A171,Medications!$AP:$AP,1,Medications!$D:$D,$C171,Medications!$O:$O,1),"")</f>
        <v/>
      </c>
      <c r="G171" t="str">
        <f>IF(G$5,COUNTIFS(Medications!$AN:$AN,ReportAndOutcomeHistory!$A171,Medications!$AP:$AP,1,Medications!$D:$D,$C171,Medications!$O:$O,1),"")</f>
        <v/>
      </c>
      <c r="H171" t="str">
        <f>IF(H$5,COUNTIFS(Medications!$AN:$AN,ReportAndOutcomeHistory!$A171,Medications!$AP:$AP,1,Medications!$D:$D,$C171,Medications!$O:$O,1),"")</f>
        <v/>
      </c>
      <c r="I171" t="str">
        <f>IF(I$5,COUNTIFS(Medications!$AN:$AN,ReportAndOutcomeHistory!$A171,Medications!$AP:$AP,1,Medications!$D:$D,$C171,Medications!$O:$O,1),"")</f>
        <v/>
      </c>
      <c r="J171" t="str">
        <f>IF(J$5,COUNTIFS(Medications!$AN:$AN,ReportAndOutcomeHistory!$A171,Medications!$AP:$AP,1,Medications!$D:$D,$C171,Medications!$O:$O,1),"")</f>
        <v/>
      </c>
      <c r="K171" t="str">
        <f>IF(K$5,COUNTIFS(Medications!$AN:$AN,ReportAndOutcomeHistory!$A171,Medications!$AP:$AP,1,Medications!$D:$D,$C171,Medications!$O:$O,1),"")</f>
        <v/>
      </c>
      <c r="L171" t="str">
        <f>IF(L$5,COUNTIFS(Medications!$AN:$AN,ReportAndOutcomeHistory!$A171,Medications!$AP:$AP,1,Medications!$D:$D,$C171,Medications!$O:$O,1),"")</f>
        <v/>
      </c>
      <c r="M171" t="str">
        <f>IF(M$5,COUNTIFS(Medications!$AN:$AN,ReportAndOutcomeHistory!$A171,Medications!$AP:$AP,1,Medications!$D:$D,$C171,Medications!$O:$O,1),"")</f>
        <v/>
      </c>
      <c r="N171" t="str">
        <f>IF(N$5,COUNTIFS(Medications!$AN:$AN,ReportAndOutcomeHistory!$A171,Medications!$AP:$AP,1,Medications!$D:$D,$C171,Medications!$O:$O,1),"")</f>
        <v/>
      </c>
      <c r="O171" t="str">
        <f>IF(O$5,COUNTIFS(Medications!$AN:$AN,ReportAndOutcomeHistory!$A171,Medications!$AP:$AP,1,Medications!$D:$D,$C171,Medications!$O:$O,1),"")</f>
        <v/>
      </c>
      <c r="P171" t="str">
        <f>IF(P$5,COUNTIFS(Medications!$AN:$AN,ReportAndOutcomeHistory!$A171,Medications!$AP:$AP,1,Medications!$D:$D,$C171,Medications!$O:$O,1),"")</f>
        <v/>
      </c>
      <c r="Q171" t="str">
        <f>IF(Q$5,COUNTIFS(Medications!$AN:$AN,ReportAndOutcomeHistory!$A171,Medications!$AP:$AP,1,Medications!$D:$D,$C171,Medications!$O:$O,1),"")</f>
        <v/>
      </c>
      <c r="R171" t="str">
        <f>IF(R$5,COUNTIFS(Medications!$AN:$AN,ReportAndOutcomeHistory!$A171,Medications!$AP:$AP,1,Medications!$D:$D,$C171,Medications!$O:$O,1),"")</f>
        <v/>
      </c>
    </row>
    <row r="172" spans="1:18" ht="15">
      <c r="A172" t="s">
        <v>41</v>
      </c>
      <c r="B172" t="str">
        <f t="shared" si="35"/>
        <v>Number of PRN Psychotherapeutic And Neurological Agents - Misc. tracked this month</v>
      </c>
      <c r="C172" t="s">
        <v>164</v>
      </c>
      <c r="E172" t="s">
        <v>466</v>
      </c>
      <c r="F172" t="str">
        <f>IF(F$5,COUNTIFS(Medications!$AN:$AN,ReportAndOutcomeHistory!$A172,Medications!$AP:$AP,1,Medications!$D:$D,$C172,Medications!$O:$O,1),"")</f>
        <v/>
      </c>
      <c r="G172" t="str">
        <f>IF(G$5,COUNTIFS(Medications!$AN:$AN,ReportAndOutcomeHistory!$A172,Medications!$AP:$AP,1,Medications!$D:$D,$C172,Medications!$O:$O,1),"")</f>
        <v/>
      </c>
      <c r="H172" t="str">
        <f>IF(H$5,COUNTIFS(Medications!$AN:$AN,ReportAndOutcomeHistory!$A172,Medications!$AP:$AP,1,Medications!$D:$D,$C172,Medications!$O:$O,1),"")</f>
        <v/>
      </c>
      <c r="I172" t="str">
        <f>IF(I$5,COUNTIFS(Medications!$AN:$AN,ReportAndOutcomeHistory!$A172,Medications!$AP:$AP,1,Medications!$D:$D,$C172,Medications!$O:$O,1),"")</f>
        <v/>
      </c>
      <c r="J172" t="str">
        <f>IF(J$5,COUNTIFS(Medications!$AN:$AN,ReportAndOutcomeHistory!$A172,Medications!$AP:$AP,1,Medications!$D:$D,$C172,Medications!$O:$O,1),"")</f>
        <v/>
      </c>
      <c r="K172" t="str">
        <f>IF(K$5,COUNTIFS(Medications!$AN:$AN,ReportAndOutcomeHistory!$A172,Medications!$AP:$AP,1,Medications!$D:$D,$C172,Medications!$O:$O,1),"")</f>
        <v/>
      </c>
      <c r="L172" t="str">
        <f>IF(L$5,COUNTIFS(Medications!$AN:$AN,ReportAndOutcomeHistory!$A172,Medications!$AP:$AP,1,Medications!$D:$D,$C172,Medications!$O:$O,1),"")</f>
        <v/>
      </c>
      <c r="M172" t="str">
        <f>IF(M$5,COUNTIFS(Medications!$AN:$AN,ReportAndOutcomeHistory!$A172,Medications!$AP:$AP,1,Medications!$D:$D,$C172,Medications!$O:$O,1),"")</f>
        <v/>
      </c>
      <c r="N172" t="str">
        <f>IF(N$5,COUNTIFS(Medications!$AN:$AN,ReportAndOutcomeHistory!$A172,Medications!$AP:$AP,1,Medications!$D:$D,$C172,Medications!$O:$O,1),"")</f>
        <v/>
      </c>
      <c r="O172" t="str">
        <f>IF(O$5,COUNTIFS(Medications!$AN:$AN,ReportAndOutcomeHistory!$A172,Medications!$AP:$AP,1,Medications!$D:$D,$C172,Medications!$O:$O,1),"")</f>
        <v/>
      </c>
      <c r="P172" t="str">
        <f>IF(P$5,COUNTIFS(Medications!$AN:$AN,ReportAndOutcomeHistory!$A172,Medications!$AP:$AP,1,Medications!$D:$D,$C172,Medications!$O:$O,1),"")</f>
        <v/>
      </c>
      <c r="Q172" t="str">
        <f>IF(Q$5,COUNTIFS(Medications!$AN:$AN,ReportAndOutcomeHistory!$A172,Medications!$AP:$AP,1,Medications!$D:$D,$C172,Medications!$O:$O,1),"")</f>
        <v/>
      </c>
      <c r="R172" t="str">
        <f>IF(R$5,COUNTIFS(Medications!$AN:$AN,ReportAndOutcomeHistory!$A172,Medications!$AP:$AP,1,Medications!$D:$D,$C172,Medications!$O:$O,1),"")</f>
        <v/>
      </c>
    </row>
    <row r="173" spans="1:18" ht="15">
      <c r="A173" t="s">
        <v>41</v>
      </c>
      <c r="B173" t="str">
        <f t="shared" si="35"/>
        <v>Number of PRN Other tracked this month</v>
      </c>
      <c r="C173" t="s">
        <v>27</v>
      </c>
      <c r="E173" t="s">
        <v>466</v>
      </c>
      <c r="F173" t="str">
        <f>IF(F$5,COUNTIFS(Medications!$AN:$AN,ReportAndOutcomeHistory!$A173,Medications!$AP:$AP,1,Medications!$D:$D,$C173,Medications!$O:$O,1),"")</f>
        <v/>
      </c>
      <c r="G173" t="str">
        <f>IF(G$5,COUNTIFS(Medications!$AN:$AN,ReportAndOutcomeHistory!$A173,Medications!$AP:$AP,1,Medications!$D:$D,$C173,Medications!$O:$O,1),"")</f>
        <v/>
      </c>
      <c r="H173" t="str">
        <f>IF(H$5,COUNTIFS(Medications!$AN:$AN,ReportAndOutcomeHistory!$A173,Medications!$AP:$AP,1,Medications!$D:$D,$C173,Medications!$O:$O,1),"")</f>
        <v/>
      </c>
      <c r="I173" t="str">
        <f>IF(I$5,COUNTIFS(Medications!$AN:$AN,ReportAndOutcomeHistory!$A173,Medications!$AP:$AP,1,Medications!$D:$D,$C173,Medications!$O:$O,1),"")</f>
        <v/>
      </c>
      <c r="J173" t="str">
        <f>IF(J$5,COUNTIFS(Medications!$AN:$AN,ReportAndOutcomeHistory!$A173,Medications!$AP:$AP,1,Medications!$D:$D,$C173,Medications!$O:$O,1),"")</f>
        <v/>
      </c>
      <c r="K173" t="str">
        <f>IF(K$5,COUNTIFS(Medications!$AN:$AN,ReportAndOutcomeHistory!$A173,Medications!$AP:$AP,1,Medications!$D:$D,$C173,Medications!$O:$O,1),"")</f>
        <v/>
      </c>
      <c r="L173" t="str">
        <f>IF(L$5,COUNTIFS(Medications!$AN:$AN,ReportAndOutcomeHistory!$A173,Medications!$AP:$AP,1,Medications!$D:$D,$C173,Medications!$O:$O,1),"")</f>
        <v/>
      </c>
      <c r="M173" t="str">
        <f>IF(M$5,COUNTIFS(Medications!$AN:$AN,ReportAndOutcomeHistory!$A173,Medications!$AP:$AP,1,Medications!$D:$D,$C173,Medications!$O:$O,1),"")</f>
        <v/>
      </c>
      <c r="N173" t="str">
        <f>IF(N$5,COUNTIFS(Medications!$AN:$AN,ReportAndOutcomeHistory!$A173,Medications!$AP:$AP,1,Medications!$D:$D,$C173,Medications!$O:$O,1),"")</f>
        <v/>
      </c>
      <c r="O173" t="str">
        <f>IF(O$5,COUNTIFS(Medications!$AN:$AN,ReportAndOutcomeHistory!$A173,Medications!$AP:$AP,1,Medications!$D:$D,$C173,Medications!$O:$O,1),"")</f>
        <v/>
      </c>
      <c r="P173" t="str">
        <f>IF(P$5,COUNTIFS(Medications!$AN:$AN,ReportAndOutcomeHistory!$A173,Medications!$AP:$AP,1,Medications!$D:$D,$C173,Medications!$O:$O,1),"")</f>
        <v/>
      </c>
      <c r="Q173" t="str">
        <f>IF(Q$5,COUNTIFS(Medications!$AN:$AN,ReportAndOutcomeHistory!$A173,Medications!$AP:$AP,1,Medications!$D:$D,$C173,Medications!$O:$O,1),"")</f>
        <v/>
      </c>
      <c r="R173" t="str">
        <f>IF(R$5,COUNTIFS(Medications!$AN:$AN,ReportAndOutcomeHistory!$A173,Medications!$AP:$AP,1,Medications!$D:$D,$C173,Medications!$O:$O,1),"")</f>
        <v/>
      </c>
    </row>
    <row r="174" spans="1:18" ht="15">
      <c r="A174" t="s">
        <v>41</v>
      </c>
      <c r="B174" t="str">
        <f t="shared" si="35"/>
        <v>Number of PRN Unknown tracked this month</v>
      </c>
      <c r="C174" t="s">
        <v>405</v>
      </c>
      <c r="E174" t="s">
        <v>466</v>
      </c>
      <c r="F174" t="str">
        <f>IF(F$5,COUNTIFS(Medications!$AN:$AN,ReportAndOutcomeHistory!$A174,Medications!$AP:$AP,1,Medications!$D:$D,$C174,Medications!$O:$O,1),"")</f>
        <v/>
      </c>
      <c r="G174" t="str">
        <f>IF(G$5,COUNTIFS(Medications!$AN:$AN,ReportAndOutcomeHistory!$A174,Medications!$AP:$AP,1,Medications!$D:$D,$C174,Medications!$O:$O,1),"")</f>
        <v/>
      </c>
      <c r="H174" t="str">
        <f>IF(H$5,COUNTIFS(Medications!$AN:$AN,ReportAndOutcomeHistory!$A174,Medications!$AP:$AP,1,Medications!$D:$D,$C174,Medications!$O:$O,1),"")</f>
        <v/>
      </c>
      <c r="I174" t="str">
        <f>IF(I$5,COUNTIFS(Medications!$AN:$AN,ReportAndOutcomeHistory!$A174,Medications!$AP:$AP,1,Medications!$D:$D,$C174,Medications!$O:$O,1),"")</f>
        <v/>
      </c>
      <c r="J174" t="str">
        <f>IF(J$5,COUNTIFS(Medications!$AN:$AN,ReportAndOutcomeHistory!$A174,Medications!$AP:$AP,1,Medications!$D:$D,$C174,Medications!$O:$O,1),"")</f>
        <v/>
      </c>
      <c r="K174" t="str">
        <f>IF(K$5,COUNTIFS(Medications!$AN:$AN,ReportAndOutcomeHistory!$A174,Medications!$AP:$AP,1,Medications!$D:$D,$C174,Medications!$O:$O,1),"")</f>
        <v/>
      </c>
      <c r="L174" t="str">
        <f>IF(L$5,COUNTIFS(Medications!$AN:$AN,ReportAndOutcomeHistory!$A174,Medications!$AP:$AP,1,Medications!$D:$D,$C174,Medications!$O:$O,1),"")</f>
        <v/>
      </c>
      <c r="M174" t="str">
        <f>IF(M$5,COUNTIFS(Medications!$AN:$AN,ReportAndOutcomeHistory!$A174,Medications!$AP:$AP,1,Medications!$D:$D,$C174,Medications!$O:$O,1),"")</f>
        <v/>
      </c>
      <c r="N174" t="str">
        <f>IF(N$5,COUNTIFS(Medications!$AN:$AN,ReportAndOutcomeHistory!$A174,Medications!$AP:$AP,1,Medications!$D:$D,$C174,Medications!$O:$O,1),"")</f>
        <v/>
      </c>
      <c r="O174" t="str">
        <f>IF(O$5,COUNTIFS(Medications!$AN:$AN,ReportAndOutcomeHistory!$A174,Medications!$AP:$AP,1,Medications!$D:$D,$C174,Medications!$O:$O,1),"")</f>
        <v/>
      </c>
      <c r="P174" t="str">
        <f>IF(P$5,COUNTIFS(Medications!$AN:$AN,ReportAndOutcomeHistory!$A174,Medications!$AP:$AP,1,Medications!$D:$D,$C174,Medications!$O:$O,1),"")</f>
        <v/>
      </c>
      <c r="Q174" t="str">
        <f>IF(Q$5,COUNTIFS(Medications!$AN:$AN,ReportAndOutcomeHistory!$A174,Medications!$AP:$AP,1,Medications!$D:$D,$C174,Medications!$O:$O,1),"")</f>
        <v/>
      </c>
      <c r="R174" t="str">
        <f>IF(R$5,COUNTIFS(Medications!$AN:$AN,ReportAndOutcomeHistory!$A174,Medications!$AP:$AP,1,Medications!$D:$D,$C174,Medications!$O:$O,1),"")</f>
        <v/>
      </c>
    </row>
    <row r="175" spans="1:18" ht="15">
      <c r="A175" t="s">
        <v>41</v>
      </c>
      <c r="B175" t="str">
        <f>"Number of individuals with a psychotropic medication order with "&amp;C175&amp;" possible adverse consequences noted"</f>
        <v>Number of individuals with a psychotropic medication order with 0 possible adverse consequences noted</v>
      </c>
      <c r="C175">
        <v>0</v>
      </c>
      <c r="E175" t="s">
        <v>465</v>
      </c>
      <c r="F175" t="str">
        <f>IF(F$5,COUNTIFS(Residents!$G:$G,$A175,Residents!$ID:$ID,1,Residents!$IH:$IH,1,Residents!$IP:$IP,$C175),"")</f>
        <v/>
      </c>
      <c r="G175" t="str">
        <f>IF(G$5,COUNTIFS(Residents!$G:$G,$A175,Residents!$ID:$ID,1,Residents!$IH:$IH,1,Residents!$IP:$IP,$C175),"")</f>
        <v/>
      </c>
      <c r="H175" t="str">
        <f>IF(H$5,COUNTIFS(Residents!$G:$G,$A175,Residents!$ID:$ID,1,Residents!$IH:$IH,1,Residents!$IP:$IP,$C175),"")</f>
        <v/>
      </c>
      <c r="I175" t="str">
        <f>IF(I$5,COUNTIFS(Residents!$G:$G,$A175,Residents!$ID:$ID,1,Residents!$IH:$IH,1,Residents!$IP:$IP,$C175),"")</f>
        <v/>
      </c>
      <c r="J175" t="str">
        <f>IF(J$5,COUNTIFS(Residents!$G:$G,$A175,Residents!$ID:$ID,1,Residents!$IH:$IH,1,Residents!$IP:$IP,$C175),"")</f>
        <v/>
      </c>
      <c r="K175" t="str">
        <f>IF(K$5,COUNTIFS(Residents!$G:$G,$A175,Residents!$ID:$ID,1,Residents!$IH:$IH,1,Residents!$IP:$IP,$C175),"")</f>
        <v/>
      </c>
      <c r="L175" t="str">
        <f>IF(L$5,COUNTIFS(Residents!$G:$G,$A175,Residents!$ID:$ID,1,Residents!$IH:$IH,1,Residents!$IP:$IP,$C175),"")</f>
        <v/>
      </c>
      <c r="M175" t="str">
        <f>IF(M$5,COUNTIFS(Residents!$G:$G,$A175,Residents!$ID:$ID,1,Residents!$IH:$IH,1,Residents!$IP:$IP,$C175),"")</f>
        <v/>
      </c>
      <c r="N175" t="str">
        <f>IF(N$5,COUNTIFS(Residents!$G:$G,$A175,Residents!$ID:$ID,1,Residents!$IH:$IH,1,Residents!$IP:$IP,$C175),"")</f>
        <v/>
      </c>
      <c r="O175" t="str">
        <f>IF(O$5,COUNTIFS(Residents!$G:$G,$A175,Residents!$ID:$ID,1,Residents!$IH:$IH,1,Residents!$IP:$IP,$C175),"")</f>
        <v/>
      </c>
      <c r="P175" t="str">
        <f>IF(P$5,COUNTIFS(Residents!$G:$G,$A175,Residents!$ID:$ID,1,Residents!$IH:$IH,1,Residents!$IP:$IP,$C175),"")</f>
        <v/>
      </c>
      <c r="Q175" t="str">
        <f>IF(Q$5,COUNTIFS(Residents!$G:$G,$A175,Residents!$ID:$ID,1,Residents!$IH:$IH,1,Residents!$IP:$IP,$C175),"")</f>
        <v/>
      </c>
      <c r="R175" t="str">
        <f>IF(R$5,COUNTIFS(Residents!$G:$G,$A175,Residents!$ID:$ID,1,Residents!$IH:$IH,1,Residents!$IP:$IP,$C175),"")</f>
        <v/>
      </c>
    </row>
    <row r="176" spans="1:18" ht="15">
      <c r="A176" t="s">
        <v>41</v>
      </c>
      <c r="B176" t="str">
        <f>"Number of individuals with a psychotropic medication order with "&amp;C176&amp;" possible adverse consequences noted"</f>
        <v>Number of individuals with a psychotropic medication order with 1 possible adverse consequences noted</v>
      </c>
      <c r="C176">
        <v>1</v>
      </c>
      <c r="E176" t="s">
        <v>465</v>
      </c>
      <c r="F176" t="str">
        <f>IF(F$5,COUNTIFS(Residents!$G:$G,$A176,Residents!$ID:$ID,1,Residents!$IH:$IH,1,Residents!$IP:$IP,$C176),"")</f>
        <v/>
      </c>
      <c r="G176" t="str">
        <f>IF(G$5,COUNTIFS(Residents!$G:$G,$A176,Residents!$ID:$ID,1,Residents!$IH:$IH,1,Residents!$IP:$IP,$C176),"")</f>
        <v/>
      </c>
      <c r="H176" t="str">
        <f>IF(H$5,COUNTIFS(Residents!$G:$G,$A176,Residents!$ID:$ID,1,Residents!$IH:$IH,1,Residents!$IP:$IP,$C176),"")</f>
        <v/>
      </c>
      <c r="I176" t="str">
        <f>IF(I$5,COUNTIFS(Residents!$G:$G,$A176,Residents!$ID:$ID,1,Residents!$IH:$IH,1,Residents!$IP:$IP,$C176),"")</f>
        <v/>
      </c>
      <c r="J176" t="str">
        <f>IF(J$5,COUNTIFS(Residents!$G:$G,$A176,Residents!$ID:$ID,1,Residents!$IH:$IH,1,Residents!$IP:$IP,$C176),"")</f>
        <v/>
      </c>
      <c r="K176" t="str">
        <f>IF(K$5,COUNTIFS(Residents!$G:$G,$A176,Residents!$ID:$ID,1,Residents!$IH:$IH,1,Residents!$IP:$IP,$C176),"")</f>
        <v/>
      </c>
      <c r="L176" t="str">
        <f>IF(L$5,COUNTIFS(Residents!$G:$G,$A176,Residents!$ID:$ID,1,Residents!$IH:$IH,1,Residents!$IP:$IP,$C176),"")</f>
        <v/>
      </c>
      <c r="M176" t="str">
        <f>IF(M$5,COUNTIFS(Residents!$G:$G,$A176,Residents!$ID:$ID,1,Residents!$IH:$IH,1,Residents!$IP:$IP,$C176),"")</f>
        <v/>
      </c>
      <c r="N176" t="str">
        <f>IF(N$5,COUNTIFS(Residents!$G:$G,$A176,Residents!$ID:$ID,1,Residents!$IH:$IH,1,Residents!$IP:$IP,$C176),"")</f>
        <v/>
      </c>
      <c r="O176" t="str">
        <f>IF(O$5,COUNTIFS(Residents!$G:$G,$A176,Residents!$ID:$ID,1,Residents!$IH:$IH,1,Residents!$IP:$IP,$C176),"")</f>
        <v/>
      </c>
      <c r="P176" t="str">
        <f>IF(P$5,COUNTIFS(Residents!$G:$G,$A176,Residents!$ID:$ID,1,Residents!$IH:$IH,1,Residents!$IP:$IP,$C176),"")</f>
        <v/>
      </c>
      <c r="Q176" t="str">
        <f>IF(Q$5,COUNTIFS(Residents!$G:$G,$A176,Residents!$ID:$ID,1,Residents!$IH:$IH,1,Residents!$IP:$IP,$C176),"")</f>
        <v/>
      </c>
      <c r="R176" t="str">
        <f>IF(R$5,COUNTIFS(Residents!$G:$G,$A176,Residents!$ID:$ID,1,Residents!$IH:$IH,1,Residents!$IP:$IP,$C176),"")</f>
        <v/>
      </c>
    </row>
    <row r="177" spans="1:18" ht="15">
      <c r="A177" t="s">
        <v>41</v>
      </c>
      <c r="B177" t="str">
        <f>"Number of individuals with a psychotropic medication order with "&amp;C177&amp;" possible adverse consequences noted"</f>
        <v>Number of individuals with a psychotropic medication order with 2 possible adverse consequences noted</v>
      </c>
      <c r="C177">
        <v>2</v>
      </c>
      <c r="E177" t="s">
        <v>465</v>
      </c>
      <c r="F177" t="str">
        <f>IF(F$5,COUNTIFS(Residents!$G:$G,$A177,Residents!$ID:$ID,1,Residents!$IH:$IH,1,Residents!$IP:$IP,$C177),"")</f>
        <v/>
      </c>
      <c r="G177" t="str">
        <f>IF(G$5,COUNTIFS(Residents!$G:$G,$A177,Residents!$ID:$ID,1,Residents!$IH:$IH,1,Residents!$IP:$IP,$C177),"")</f>
        <v/>
      </c>
      <c r="H177" t="str">
        <f>IF(H$5,COUNTIFS(Residents!$G:$G,$A177,Residents!$ID:$ID,1,Residents!$IH:$IH,1,Residents!$IP:$IP,$C177),"")</f>
        <v/>
      </c>
      <c r="I177" t="str">
        <f>IF(I$5,COUNTIFS(Residents!$G:$G,$A177,Residents!$ID:$ID,1,Residents!$IH:$IH,1,Residents!$IP:$IP,$C177),"")</f>
        <v/>
      </c>
      <c r="J177" t="str">
        <f>IF(J$5,COUNTIFS(Residents!$G:$G,$A177,Residents!$ID:$ID,1,Residents!$IH:$IH,1,Residents!$IP:$IP,$C177),"")</f>
        <v/>
      </c>
      <c r="K177" t="str">
        <f>IF(K$5,COUNTIFS(Residents!$G:$G,$A177,Residents!$ID:$ID,1,Residents!$IH:$IH,1,Residents!$IP:$IP,$C177),"")</f>
        <v/>
      </c>
      <c r="L177" t="str">
        <f>IF(L$5,COUNTIFS(Residents!$G:$G,$A177,Residents!$ID:$ID,1,Residents!$IH:$IH,1,Residents!$IP:$IP,$C177),"")</f>
        <v/>
      </c>
      <c r="M177" t="str">
        <f>IF(M$5,COUNTIFS(Residents!$G:$G,$A177,Residents!$ID:$ID,1,Residents!$IH:$IH,1,Residents!$IP:$IP,$C177),"")</f>
        <v/>
      </c>
      <c r="N177" t="str">
        <f>IF(N$5,COUNTIFS(Residents!$G:$G,$A177,Residents!$ID:$ID,1,Residents!$IH:$IH,1,Residents!$IP:$IP,$C177),"")</f>
        <v/>
      </c>
      <c r="O177" t="str">
        <f>IF(O$5,COUNTIFS(Residents!$G:$G,$A177,Residents!$ID:$ID,1,Residents!$IH:$IH,1,Residents!$IP:$IP,$C177),"")</f>
        <v/>
      </c>
      <c r="P177" t="str">
        <f>IF(P$5,COUNTIFS(Residents!$G:$G,$A177,Residents!$ID:$ID,1,Residents!$IH:$IH,1,Residents!$IP:$IP,$C177),"")</f>
        <v/>
      </c>
      <c r="Q177" t="str">
        <f>IF(Q$5,COUNTIFS(Residents!$G:$G,$A177,Residents!$ID:$ID,1,Residents!$IH:$IH,1,Residents!$IP:$IP,$C177),"")</f>
        <v/>
      </c>
      <c r="R177" t="str">
        <f>IF(R$5,COUNTIFS(Residents!$G:$G,$A177,Residents!$ID:$ID,1,Residents!$IH:$IH,1,Residents!$IP:$IP,$C177),"")</f>
        <v/>
      </c>
    </row>
    <row r="178" spans="1:18" ht="15">
      <c r="A178" t="s">
        <v>41</v>
      </c>
      <c r="B178" t="str">
        <f>"Number of individuals with a psychotropic medication order with "&amp;C178&amp;" possible adverse consequences noted"</f>
        <v>Number of individuals with a psychotropic medication order with 3 possible adverse consequences noted</v>
      </c>
      <c r="C178">
        <v>3</v>
      </c>
      <c r="E178" t="s">
        <v>465</v>
      </c>
      <c r="F178" t="str">
        <f>IF(F$5,COUNTIFS(Residents!$G:$G,$A178,Residents!$ID:$ID,1,Residents!$IH:$IH,1,Residents!$IP:$IP,$C178),"")</f>
        <v/>
      </c>
      <c r="G178" t="str">
        <f>IF(G$5,COUNTIFS(Residents!$G:$G,$A178,Residents!$ID:$ID,1,Residents!$IH:$IH,1,Residents!$IP:$IP,$C178),"")</f>
        <v/>
      </c>
      <c r="H178" t="str">
        <f>IF(H$5,COUNTIFS(Residents!$G:$G,$A178,Residents!$ID:$ID,1,Residents!$IH:$IH,1,Residents!$IP:$IP,$C178),"")</f>
        <v/>
      </c>
      <c r="I178" t="str">
        <f>IF(I$5,COUNTIFS(Residents!$G:$G,$A178,Residents!$ID:$ID,1,Residents!$IH:$IH,1,Residents!$IP:$IP,$C178),"")</f>
        <v/>
      </c>
      <c r="J178" t="str">
        <f>IF(J$5,COUNTIFS(Residents!$G:$G,$A178,Residents!$ID:$ID,1,Residents!$IH:$IH,1,Residents!$IP:$IP,$C178),"")</f>
        <v/>
      </c>
      <c r="K178" t="str">
        <f>IF(K$5,COUNTIFS(Residents!$G:$G,$A178,Residents!$ID:$ID,1,Residents!$IH:$IH,1,Residents!$IP:$IP,$C178),"")</f>
        <v/>
      </c>
      <c r="L178" t="str">
        <f>IF(L$5,COUNTIFS(Residents!$G:$G,$A178,Residents!$ID:$ID,1,Residents!$IH:$IH,1,Residents!$IP:$IP,$C178),"")</f>
        <v/>
      </c>
      <c r="M178" t="str">
        <f>IF(M$5,COUNTIFS(Residents!$G:$G,$A178,Residents!$ID:$ID,1,Residents!$IH:$IH,1,Residents!$IP:$IP,$C178),"")</f>
        <v/>
      </c>
      <c r="N178" t="str">
        <f>IF(N$5,COUNTIFS(Residents!$G:$G,$A178,Residents!$ID:$ID,1,Residents!$IH:$IH,1,Residents!$IP:$IP,$C178),"")</f>
        <v/>
      </c>
      <c r="O178" t="str">
        <f>IF(O$5,COUNTIFS(Residents!$G:$G,$A178,Residents!$ID:$ID,1,Residents!$IH:$IH,1,Residents!$IP:$IP,$C178),"")</f>
        <v/>
      </c>
      <c r="P178" t="str">
        <f>IF(P$5,COUNTIFS(Residents!$G:$G,$A178,Residents!$ID:$ID,1,Residents!$IH:$IH,1,Residents!$IP:$IP,$C178),"")</f>
        <v/>
      </c>
      <c r="Q178" t="str">
        <f>IF(Q$5,COUNTIFS(Residents!$G:$G,$A178,Residents!$ID:$ID,1,Residents!$IH:$IH,1,Residents!$IP:$IP,$C178),"")</f>
        <v/>
      </c>
      <c r="R178" t="str">
        <f>IF(R$5,COUNTIFS(Residents!$G:$G,$A178,Residents!$ID:$ID,1,Residents!$IH:$IH,1,Residents!$IP:$IP,$C178),"")</f>
        <v/>
      </c>
    </row>
    <row r="179" spans="1:18" ht="15">
      <c r="A179" t="s">
        <v>41</v>
      </c>
      <c r="B179" t="str">
        <f>"Number of individuals with a psychotropic medication order with "&amp;C179&amp;" possible adverse consequences noted"</f>
        <v>Number of individuals with a psychotropic medication order with &gt;=4 possible adverse consequences noted</v>
      </c>
      <c r="C179" t="s">
        <v>869</v>
      </c>
      <c r="E179" t="s">
        <v>465</v>
      </c>
      <c r="F179" t="str">
        <f>IF(F$5,COUNTIFS(Residents!$G:$G,$A179,Residents!$ID:$ID,1,Residents!$IH:$IH,1,Residents!$IP:$IP,$C179),"")</f>
        <v/>
      </c>
      <c r="G179" t="str">
        <f>IF(G$5,COUNTIFS(Residents!$G:$G,$A179,Residents!$ID:$ID,1,Residents!$IH:$IH,1,Residents!$IP:$IP,$C179),"")</f>
        <v/>
      </c>
      <c r="H179" t="str">
        <f>IF(H$5,COUNTIFS(Residents!$G:$G,$A179,Residents!$ID:$ID,1,Residents!$IH:$IH,1,Residents!$IP:$IP,$C179),"")</f>
        <v/>
      </c>
      <c r="I179" t="str">
        <f>IF(I$5,COUNTIFS(Residents!$G:$G,$A179,Residents!$ID:$ID,1,Residents!$IH:$IH,1,Residents!$IP:$IP,$C179),"")</f>
        <v/>
      </c>
      <c r="J179" t="str">
        <f>IF(J$5,COUNTIFS(Residents!$G:$G,$A179,Residents!$ID:$ID,1,Residents!$IH:$IH,1,Residents!$IP:$IP,$C179),"")</f>
        <v/>
      </c>
      <c r="K179" t="str">
        <f>IF(K$5,COUNTIFS(Residents!$G:$G,$A179,Residents!$ID:$ID,1,Residents!$IH:$IH,1,Residents!$IP:$IP,$C179),"")</f>
        <v/>
      </c>
      <c r="L179" t="str">
        <f>IF(L$5,COUNTIFS(Residents!$G:$G,$A179,Residents!$ID:$ID,1,Residents!$IH:$IH,1,Residents!$IP:$IP,$C179),"")</f>
        <v/>
      </c>
      <c r="M179" t="str">
        <f>IF(M$5,COUNTIFS(Residents!$G:$G,$A179,Residents!$ID:$ID,1,Residents!$IH:$IH,1,Residents!$IP:$IP,$C179),"")</f>
        <v/>
      </c>
      <c r="N179" t="str">
        <f>IF(N$5,COUNTIFS(Residents!$G:$G,$A179,Residents!$ID:$ID,1,Residents!$IH:$IH,1,Residents!$IP:$IP,$C179),"")</f>
        <v/>
      </c>
      <c r="O179" t="str">
        <f>IF(O$5,COUNTIFS(Residents!$G:$G,$A179,Residents!$ID:$ID,1,Residents!$IH:$IH,1,Residents!$IP:$IP,$C179),"")</f>
        <v/>
      </c>
      <c r="P179" t="str">
        <f>IF(P$5,COUNTIFS(Residents!$G:$G,$A179,Residents!$ID:$ID,1,Residents!$IH:$IH,1,Residents!$IP:$IP,$C179),"")</f>
        <v/>
      </c>
      <c r="Q179" t="str">
        <f>IF(Q$5,COUNTIFS(Residents!$G:$G,$A179,Residents!$ID:$ID,1,Residents!$IH:$IH,1,Residents!$IP:$IP,$C179),"")</f>
        <v/>
      </c>
      <c r="R179" t="str">
        <f>IF(R$5,COUNTIFS(Residents!$G:$G,$A179,Residents!$ID:$ID,1,Residents!$IH:$IH,1,Residents!$IP:$IP,$C179),"")</f>
        <v/>
      </c>
    </row>
    <row r="180" spans="1:18" ht="15">
      <c r="A180" t="s">
        <v>41</v>
      </c>
      <c r="B180" t="str">
        <f>"Number of individuals living with "&amp;C180&amp;" dementia"</f>
        <v>Number of individuals living with ALZHEIMERS dementia</v>
      </c>
      <c r="C180" t="s">
        <v>854</v>
      </c>
      <c r="E180" t="s">
        <v>465</v>
      </c>
      <c r="F180" t="str">
        <f>IF(F$5,COUNTIFS(Residents!$G:$G,$A180,Residents!$ID:$ID,1,Residents!$K:$K,$C180),"")</f>
        <v/>
      </c>
      <c r="G180" t="str">
        <f>IF(G$5,COUNTIFS(Residents!$G:$G,$A180,Residents!$ID:$ID,1,Residents!$K:$K,$C180),"")</f>
        <v/>
      </c>
      <c r="H180" t="str">
        <f>IF(H$5,COUNTIFS(Residents!$G:$G,$A180,Residents!$ID:$ID,1,Residents!$K:$K,$C180),"")</f>
        <v/>
      </c>
      <c r="I180" t="str">
        <f>IF(I$5,COUNTIFS(Residents!$G:$G,$A180,Residents!$ID:$ID,1,Residents!$K:$K,$C180),"")</f>
        <v/>
      </c>
      <c r="J180" t="str">
        <f>IF(J$5,COUNTIFS(Residents!$G:$G,$A180,Residents!$ID:$ID,1,Residents!$K:$K,$C180),"")</f>
        <v/>
      </c>
      <c r="K180" t="str">
        <f>IF(K$5,COUNTIFS(Residents!$G:$G,$A180,Residents!$ID:$ID,1,Residents!$K:$K,$C180),"")</f>
        <v/>
      </c>
      <c r="L180" t="str">
        <f>IF(L$5,COUNTIFS(Residents!$G:$G,$A180,Residents!$ID:$ID,1,Residents!$K:$K,$C180),"")</f>
        <v/>
      </c>
      <c r="M180" t="str">
        <f>IF(M$5,COUNTIFS(Residents!$G:$G,$A180,Residents!$ID:$ID,1,Residents!$K:$K,$C180),"")</f>
        <v/>
      </c>
      <c r="N180" t="str">
        <f>IF(N$5,COUNTIFS(Residents!$G:$G,$A180,Residents!$ID:$ID,1,Residents!$K:$K,$C180),"")</f>
        <v/>
      </c>
      <c r="O180" t="str">
        <f>IF(O$5,COUNTIFS(Residents!$G:$G,$A180,Residents!$ID:$ID,1,Residents!$K:$K,$C180),"")</f>
        <v/>
      </c>
      <c r="P180" t="str">
        <f>IF(P$5,COUNTIFS(Residents!$G:$G,$A180,Residents!$ID:$ID,1,Residents!$K:$K,$C180),"")</f>
        <v/>
      </c>
      <c r="Q180" t="str">
        <f>IF(Q$5,COUNTIFS(Residents!$G:$G,$A180,Residents!$ID:$ID,1,Residents!$K:$K,$C180),"")</f>
        <v/>
      </c>
      <c r="R180" t="str">
        <f>IF(R$5,COUNTIFS(Residents!$G:$G,$A180,Residents!$ID:$ID,1,Residents!$K:$K,$C180),"")</f>
        <v/>
      </c>
    </row>
    <row r="181" spans="1:18" ht="15">
      <c r="A181" t="s">
        <v>41</v>
      </c>
      <c r="B181" t="str">
        <f>"Number of individuals living with "&amp;C181&amp;" dementia"</f>
        <v>Number of individuals living with VASCULAR dementia</v>
      </c>
      <c r="C181" t="s">
        <v>856</v>
      </c>
      <c r="E181" t="s">
        <v>465</v>
      </c>
      <c r="F181" t="str">
        <f>IF(F$5,COUNTIFS(Residents!$G:$G,$A181,Residents!$ID:$ID,1,Residents!$K:$K,$C181),"")</f>
        <v/>
      </c>
      <c r="G181" t="str">
        <f>IF(G$5,COUNTIFS(Residents!$G:$G,$A181,Residents!$ID:$ID,1,Residents!$K:$K,$C181),"")</f>
        <v/>
      </c>
      <c r="H181" t="str">
        <f>IF(H$5,COUNTIFS(Residents!$G:$G,$A181,Residents!$ID:$ID,1,Residents!$K:$K,$C181),"")</f>
        <v/>
      </c>
      <c r="I181" t="str">
        <f>IF(I$5,COUNTIFS(Residents!$G:$G,$A181,Residents!$ID:$ID,1,Residents!$K:$K,$C181),"")</f>
        <v/>
      </c>
      <c r="J181" t="str">
        <f>IF(J$5,COUNTIFS(Residents!$G:$G,$A181,Residents!$ID:$ID,1,Residents!$K:$K,$C181),"")</f>
        <v/>
      </c>
      <c r="K181" t="str">
        <f>IF(K$5,COUNTIFS(Residents!$G:$G,$A181,Residents!$ID:$ID,1,Residents!$K:$K,$C181),"")</f>
        <v/>
      </c>
      <c r="L181" t="str">
        <f>IF(L$5,COUNTIFS(Residents!$G:$G,$A181,Residents!$ID:$ID,1,Residents!$K:$K,$C181),"")</f>
        <v/>
      </c>
      <c r="M181" t="str">
        <f>IF(M$5,COUNTIFS(Residents!$G:$G,$A181,Residents!$ID:$ID,1,Residents!$K:$K,$C181),"")</f>
        <v/>
      </c>
      <c r="N181" t="str">
        <f>IF(N$5,COUNTIFS(Residents!$G:$G,$A181,Residents!$ID:$ID,1,Residents!$K:$K,$C181),"")</f>
        <v/>
      </c>
      <c r="O181" t="str">
        <f>IF(O$5,COUNTIFS(Residents!$G:$G,$A181,Residents!$ID:$ID,1,Residents!$K:$K,$C181),"")</f>
        <v/>
      </c>
      <c r="P181" t="str">
        <f>IF(P$5,COUNTIFS(Residents!$G:$G,$A181,Residents!$ID:$ID,1,Residents!$K:$K,$C181),"")</f>
        <v/>
      </c>
      <c r="Q181" t="str">
        <f>IF(Q$5,COUNTIFS(Residents!$G:$G,$A181,Residents!$ID:$ID,1,Residents!$K:$K,$C181),"")</f>
        <v/>
      </c>
      <c r="R181" t="str">
        <f>IF(R$5,COUNTIFS(Residents!$G:$G,$A181,Residents!$ID:$ID,1,Residents!$K:$K,$C181),"")</f>
        <v/>
      </c>
    </row>
    <row r="182" spans="1:18" ht="15">
      <c r="A182" t="s">
        <v>41</v>
      </c>
      <c r="B182" t="str">
        <f>"Number of individuals living with "&amp;C182&amp;" dementia"</f>
        <v>Number of individuals living with LEWY BODIES dementia</v>
      </c>
      <c r="C182" t="s">
        <v>870</v>
      </c>
      <c r="E182" t="s">
        <v>465</v>
      </c>
      <c r="F182" t="str">
        <f>IF(F$5,COUNTIFS(Residents!$G:$G,$A182,Residents!$ID:$ID,1,Residents!$K:$K,$C182),"")</f>
        <v/>
      </c>
      <c r="G182" t="str">
        <f>IF(G$5,COUNTIFS(Residents!$G:$G,$A182,Residents!$ID:$ID,1,Residents!$K:$K,$C182),"")</f>
        <v/>
      </c>
      <c r="H182" t="str">
        <f>IF(H$5,COUNTIFS(Residents!$G:$G,$A182,Residents!$ID:$ID,1,Residents!$K:$K,$C182),"")</f>
        <v/>
      </c>
      <c r="I182" t="str">
        <f>IF(I$5,COUNTIFS(Residents!$G:$G,$A182,Residents!$ID:$ID,1,Residents!$K:$K,$C182),"")</f>
        <v/>
      </c>
      <c r="J182" t="str">
        <f>IF(J$5,COUNTIFS(Residents!$G:$G,$A182,Residents!$ID:$ID,1,Residents!$K:$K,$C182),"")</f>
        <v/>
      </c>
      <c r="K182" t="str">
        <f>IF(K$5,COUNTIFS(Residents!$G:$G,$A182,Residents!$ID:$ID,1,Residents!$K:$K,$C182),"")</f>
        <v/>
      </c>
      <c r="L182" t="str">
        <f>IF(L$5,COUNTIFS(Residents!$G:$G,$A182,Residents!$ID:$ID,1,Residents!$K:$K,$C182),"")</f>
        <v/>
      </c>
      <c r="M182" t="str">
        <f>IF(M$5,COUNTIFS(Residents!$G:$G,$A182,Residents!$ID:$ID,1,Residents!$K:$K,$C182),"")</f>
        <v/>
      </c>
      <c r="N182" t="str">
        <f>IF(N$5,COUNTIFS(Residents!$G:$G,$A182,Residents!$ID:$ID,1,Residents!$K:$K,$C182),"")</f>
        <v/>
      </c>
      <c r="O182" t="str">
        <f>IF(O$5,COUNTIFS(Residents!$G:$G,$A182,Residents!$ID:$ID,1,Residents!$K:$K,$C182),"")</f>
        <v/>
      </c>
      <c r="P182" t="str">
        <f>IF(P$5,COUNTIFS(Residents!$G:$G,$A182,Residents!$ID:$ID,1,Residents!$K:$K,$C182),"")</f>
        <v/>
      </c>
      <c r="Q182" t="str">
        <f>IF(Q$5,COUNTIFS(Residents!$G:$G,$A182,Residents!$ID:$ID,1,Residents!$K:$K,$C182),"")</f>
        <v/>
      </c>
      <c r="R182" t="str">
        <f>IF(R$5,COUNTIFS(Residents!$G:$G,$A182,Residents!$ID:$ID,1,Residents!$K:$K,$C182),"")</f>
        <v/>
      </c>
    </row>
    <row r="183" spans="1:18" ht="15">
      <c r="A183" t="s">
        <v>41</v>
      </c>
      <c r="B183" t="str">
        <f>"Number of individuals living with "&amp;C183&amp;" dementia"</f>
        <v>Number of individuals living with MIXED dementia</v>
      </c>
      <c r="C183" t="s">
        <v>855</v>
      </c>
      <c r="E183" t="s">
        <v>465</v>
      </c>
      <c r="F183" t="str">
        <f>IF(F$5,COUNTIFS(Residents!$G:$G,$A183,Residents!$ID:$ID,1,Residents!$K:$K,$C183),"")</f>
        <v/>
      </c>
      <c r="G183" t="str">
        <f>IF(G$5,COUNTIFS(Residents!$G:$G,$A183,Residents!$ID:$ID,1,Residents!$K:$K,$C183),"")</f>
        <v/>
      </c>
      <c r="H183" t="str">
        <f>IF(H$5,COUNTIFS(Residents!$G:$G,$A183,Residents!$ID:$ID,1,Residents!$K:$K,$C183),"")</f>
        <v/>
      </c>
      <c r="I183" t="str">
        <f>IF(I$5,COUNTIFS(Residents!$G:$G,$A183,Residents!$ID:$ID,1,Residents!$K:$K,$C183),"")</f>
        <v/>
      </c>
      <c r="J183" t="str">
        <f>IF(J$5,COUNTIFS(Residents!$G:$G,$A183,Residents!$ID:$ID,1,Residents!$K:$K,$C183),"")</f>
        <v/>
      </c>
      <c r="K183" t="str">
        <f>IF(K$5,COUNTIFS(Residents!$G:$G,$A183,Residents!$ID:$ID,1,Residents!$K:$K,$C183),"")</f>
        <v/>
      </c>
      <c r="L183" t="str">
        <f>IF(L$5,COUNTIFS(Residents!$G:$G,$A183,Residents!$ID:$ID,1,Residents!$K:$K,$C183),"")</f>
        <v/>
      </c>
      <c r="M183" t="str">
        <f>IF(M$5,COUNTIFS(Residents!$G:$G,$A183,Residents!$ID:$ID,1,Residents!$K:$K,$C183),"")</f>
        <v/>
      </c>
      <c r="N183" t="str">
        <f>IF(N$5,COUNTIFS(Residents!$G:$G,$A183,Residents!$ID:$ID,1,Residents!$K:$K,$C183),"")</f>
        <v/>
      </c>
      <c r="O183" t="str">
        <f>IF(O$5,COUNTIFS(Residents!$G:$G,$A183,Residents!$ID:$ID,1,Residents!$K:$K,$C183),"")</f>
        <v/>
      </c>
      <c r="P183" t="str">
        <f>IF(P$5,COUNTIFS(Residents!$G:$G,$A183,Residents!$ID:$ID,1,Residents!$K:$K,$C183),"")</f>
        <v/>
      </c>
      <c r="Q183" t="str">
        <f>IF(Q$5,COUNTIFS(Residents!$G:$G,$A183,Residents!$ID:$ID,1,Residents!$K:$K,$C183),"")</f>
        <v/>
      </c>
      <c r="R183" t="str">
        <f>IF(R$5,COUNTIFS(Residents!$G:$G,$A183,Residents!$ID:$ID,1,Residents!$K:$K,$C183),"")</f>
        <v/>
      </c>
    </row>
    <row r="184" spans="1:18" ht="15">
      <c r="A184" t="s">
        <v>41</v>
      </c>
      <c r="B184" t="str">
        <f>"Number of individuals living with "&amp;C184&amp;" dementia"</f>
        <v>Number of individuals living with OTHER dementia</v>
      </c>
      <c r="C184" t="s">
        <v>871</v>
      </c>
      <c r="E184" t="s">
        <v>465</v>
      </c>
      <c r="F184" t="str">
        <f>IF(F$5,COUNTIFS(Residents!$G:$G,$A184,Residents!$ID:$ID,1,Residents!$K:$K,$C184),"")</f>
        <v/>
      </c>
      <c r="G184" t="str">
        <f>IF(G$5,COUNTIFS(Residents!$G:$G,$A184,Residents!$ID:$ID,1,Residents!$K:$K,$C184),"")</f>
        <v/>
      </c>
      <c r="H184" t="str">
        <f>IF(H$5,COUNTIFS(Residents!$G:$G,$A184,Residents!$ID:$ID,1,Residents!$K:$K,$C184),"")</f>
        <v/>
      </c>
      <c r="I184" t="str">
        <f>IF(I$5,COUNTIFS(Residents!$G:$G,$A184,Residents!$ID:$ID,1,Residents!$K:$K,$C184),"")</f>
        <v/>
      </c>
      <c r="J184" t="str">
        <f>IF(J$5,COUNTIFS(Residents!$G:$G,$A184,Residents!$ID:$ID,1,Residents!$K:$K,$C184),"")</f>
        <v/>
      </c>
      <c r="K184" t="str">
        <f>IF(K$5,COUNTIFS(Residents!$G:$G,$A184,Residents!$ID:$ID,1,Residents!$K:$K,$C184),"")</f>
        <v/>
      </c>
      <c r="L184" t="str">
        <f>IF(L$5,COUNTIFS(Residents!$G:$G,$A184,Residents!$ID:$ID,1,Residents!$K:$K,$C184),"")</f>
        <v/>
      </c>
      <c r="M184" t="str">
        <f>IF(M$5,COUNTIFS(Residents!$G:$G,$A184,Residents!$ID:$ID,1,Residents!$K:$K,$C184),"")</f>
        <v/>
      </c>
      <c r="N184" t="str">
        <f>IF(N$5,COUNTIFS(Residents!$G:$G,$A184,Residents!$ID:$ID,1,Residents!$K:$K,$C184),"")</f>
        <v/>
      </c>
      <c r="O184" t="str">
        <f>IF(O$5,COUNTIFS(Residents!$G:$G,$A184,Residents!$ID:$ID,1,Residents!$K:$K,$C184),"")</f>
        <v/>
      </c>
      <c r="P184" t="str">
        <f>IF(P$5,COUNTIFS(Residents!$G:$G,$A184,Residents!$ID:$ID,1,Residents!$K:$K,$C184),"")</f>
        <v/>
      </c>
      <c r="Q184" t="str">
        <f>IF(Q$5,COUNTIFS(Residents!$G:$G,$A184,Residents!$ID:$ID,1,Residents!$K:$K,$C184),"")</f>
        <v/>
      </c>
      <c r="R184" t="str">
        <f>IF(R$5,COUNTIFS(Residents!$G:$G,$A184,Residents!$ID:$ID,1,Residents!$K:$K,$C184),"")</f>
        <v/>
      </c>
    </row>
    <row r="185" spans="1:18" ht="15">
      <c r="A185" t="s">
        <v>41</v>
      </c>
      <c r="B185" t="str">
        <f>"Number of individuals living with "&amp;C185&amp;" dementia with at least one psychotropic medication order"</f>
        <v>Number of individuals living with ALZHEIMERS dementia with at least one psychotropic medication order</v>
      </c>
      <c r="C185" t="s">
        <v>854</v>
      </c>
      <c r="E185" t="s">
        <v>465</v>
      </c>
      <c r="F185" t="str">
        <f>IF(F$5,COUNTIFS(Residents!$G:$G,$A185,Residents!$ID:$ID,1,Residents!$K:$K,$C185,Residents!$IH:$IH,1),"")</f>
        <v/>
      </c>
      <c r="G185" t="str">
        <f>IF(G$5,COUNTIFS(Residents!$G:$G,$A185,Residents!$ID:$ID,1,Residents!$K:$K,$C185,Residents!$IH:$IH,1),"")</f>
        <v/>
      </c>
      <c r="H185" t="str">
        <f>IF(H$5,COUNTIFS(Residents!$G:$G,$A185,Residents!$ID:$ID,1,Residents!$K:$K,$C185,Residents!$IH:$IH,1),"")</f>
        <v/>
      </c>
      <c r="I185" t="str">
        <f>IF(I$5,COUNTIFS(Residents!$G:$G,$A185,Residents!$ID:$ID,1,Residents!$K:$K,$C185,Residents!$IH:$IH,1),"")</f>
        <v/>
      </c>
      <c r="J185" t="str">
        <f>IF(J$5,COUNTIFS(Residents!$G:$G,$A185,Residents!$ID:$ID,1,Residents!$K:$K,$C185,Residents!$IH:$IH,1),"")</f>
        <v/>
      </c>
      <c r="K185" t="str">
        <f>IF(K$5,COUNTIFS(Residents!$G:$G,$A185,Residents!$ID:$ID,1,Residents!$K:$K,$C185,Residents!$IH:$IH,1),"")</f>
        <v/>
      </c>
      <c r="L185" t="str">
        <f>IF(L$5,COUNTIFS(Residents!$G:$G,$A185,Residents!$ID:$ID,1,Residents!$K:$K,$C185,Residents!$IH:$IH,1),"")</f>
        <v/>
      </c>
      <c r="M185" t="str">
        <f>IF(M$5,COUNTIFS(Residents!$G:$G,$A185,Residents!$ID:$ID,1,Residents!$K:$K,$C185,Residents!$IH:$IH,1),"")</f>
        <v/>
      </c>
      <c r="N185" t="str">
        <f>IF(N$5,COUNTIFS(Residents!$G:$G,$A185,Residents!$ID:$ID,1,Residents!$K:$K,$C185,Residents!$IH:$IH,1),"")</f>
        <v/>
      </c>
      <c r="O185" t="str">
        <f>IF(O$5,COUNTIFS(Residents!$G:$G,$A185,Residents!$ID:$ID,1,Residents!$K:$K,$C185,Residents!$IH:$IH,1),"")</f>
        <v/>
      </c>
      <c r="P185" t="str">
        <f>IF(P$5,COUNTIFS(Residents!$G:$G,$A185,Residents!$ID:$ID,1,Residents!$K:$K,$C185,Residents!$IH:$IH,1),"")</f>
        <v/>
      </c>
      <c r="Q185" t="str">
        <f>IF(Q$5,COUNTIFS(Residents!$G:$G,$A185,Residents!$ID:$ID,1,Residents!$K:$K,$C185,Residents!$IH:$IH,1),"")</f>
        <v/>
      </c>
      <c r="R185" t="str">
        <f>IF(R$5,COUNTIFS(Residents!$G:$G,$A185,Residents!$ID:$ID,1,Residents!$K:$K,$C185,Residents!$IH:$IH,1),"")</f>
        <v/>
      </c>
    </row>
    <row r="186" spans="1:18" ht="15">
      <c r="A186" t="s">
        <v>41</v>
      </c>
      <c r="B186" t="str">
        <f>"Number of individuals living with "&amp;C186&amp;" dementia with at least one psychotropic medication order"</f>
        <v>Number of individuals living with VASCULAR dementia with at least one psychotropic medication order</v>
      </c>
      <c r="C186" t="s">
        <v>856</v>
      </c>
      <c r="E186" t="s">
        <v>465</v>
      </c>
      <c r="F186" t="str">
        <f>IF(F$5,COUNTIFS(Residents!$G:$G,$A186,Residents!$ID:$ID,1,Residents!$K:$K,$C186,Residents!$IH:$IH,1),"")</f>
        <v/>
      </c>
      <c r="G186" t="str">
        <f>IF(G$5,COUNTIFS(Residents!$G:$G,$A186,Residents!$ID:$ID,1,Residents!$K:$K,$C186,Residents!$IH:$IH,1),"")</f>
        <v/>
      </c>
      <c r="H186" t="str">
        <f>IF(H$5,COUNTIFS(Residents!$G:$G,$A186,Residents!$ID:$ID,1,Residents!$K:$K,$C186,Residents!$IH:$IH,1),"")</f>
        <v/>
      </c>
      <c r="I186" t="str">
        <f>IF(I$5,COUNTIFS(Residents!$G:$G,$A186,Residents!$ID:$ID,1,Residents!$K:$K,$C186,Residents!$IH:$IH,1),"")</f>
        <v/>
      </c>
      <c r="J186" t="str">
        <f>IF(J$5,COUNTIFS(Residents!$G:$G,$A186,Residents!$ID:$ID,1,Residents!$K:$K,$C186,Residents!$IH:$IH,1),"")</f>
        <v/>
      </c>
      <c r="K186" t="str">
        <f>IF(K$5,COUNTIFS(Residents!$G:$G,$A186,Residents!$ID:$ID,1,Residents!$K:$K,$C186,Residents!$IH:$IH,1),"")</f>
        <v/>
      </c>
      <c r="L186" t="str">
        <f>IF(L$5,COUNTIFS(Residents!$G:$G,$A186,Residents!$ID:$ID,1,Residents!$K:$K,$C186,Residents!$IH:$IH,1),"")</f>
        <v/>
      </c>
      <c r="M186" t="str">
        <f>IF(M$5,COUNTIFS(Residents!$G:$G,$A186,Residents!$ID:$ID,1,Residents!$K:$K,$C186,Residents!$IH:$IH,1),"")</f>
        <v/>
      </c>
      <c r="N186" t="str">
        <f>IF(N$5,COUNTIFS(Residents!$G:$G,$A186,Residents!$ID:$ID,1,Residents!$K:$K,$C186,Residents!$IH:$IH,1),"")</f>
        <v/>
      </c>
      <c r="O186" t="str">
        <f>IF(O$5,COUNTIFS(Residents!$G:$G,$A186,Residents!$ID:$ID,1,Residents!$K:$K,$C186,Residents!$IH:$IH,1),"")</f>
        <v/>
      </c>
      <c r="P186" t="str">
        <f>IF(P$5,COUNTIFS(Residents!$G:$G,$A186,Residents!$ID:$ID,1,Residents!$K:$K,$C186,Residents!$IH:$IH,1),"")</f>
        <v/>
      </c>
      <c r="Q186" t="str">
        <f>IF(Q$5,COUNTIFS(Residents!$G:$G,$A186,Residents!$ID:$ID,1,Residents!$K:$K,$C186,Residents!$IH:$IH,1),"")</f>
        <v/>
      </c>
      <c r="R186" t="str">
        <f>IF(R$5,COUNTIFS(Residents!$G:$G,$A186,Residents!$ID:$ID,1,Residents!$K:$K,$C186,Residents!$IH:$IH,1),"")</f>
        <v/>
      </c>
    </row>
    <row r="187" spans="1:18" ht="15">
      <c r="A187" t="s">
        <v>41</v>
      </c>
      <c r="B187" t="str">
        <f>"Number of individuals living with "&amp;C187&amp;" dementia with at least one psychotropic medication order"</f>
        <v>Number of individuals living with LEWY BODIES dementia with at least one psychotropic medication order</v>
      </c>
      <c r="C187" t="s">
        <v>870</v>
      </c>
      <c r="E187" t="s">
        <v>465</v>
      </c>
      <c r="F187" t="str">
        <f>IF(F$5,COUNTIFS(Residents!$G:$G,$A187,Residents!$ID:$ID,1,Residents!$K:$K,$C187,Residents!$IH:$IH,1),"")</f>
        <v/>
      </c>
      <c r="G187" t="str">
        <f>IF(G$5,COUNTIFS(Residents!$G:$G,$A187,Residents!$ID:$ID,1,Residents!$K:$K,$C187,Residents!$IH:$IH,1),"")</f>
        <v/>
      </c>
      <c r="H187" t="str">
        <f>IF(H$5,COUNTIFS(Residents!$G:$G,$A187,Residents!$ID:$ID,1,Residents!$K:$K,$C187,Residents!$IH:$IH,1),"")</f>
        <v/>
      </c>
      <c r="I187" t="str">
        <f>IF(I$5,COUNTIFS(Residents!$G:$G,$A187,Residents!$ID:$ID,1,Residents!$K:$K,$C187,Residents!$IH:$IH,1),"")</f>
        <v/>
      </c>
      <c r="J187" t="str">
        <f>IF(J$5,COUNTIFS(Residents!$G:$G,$A187,Residents!$ID:$ID,1,Residents!$K:$K,$C187,Residents!$IH:$IH,1),"")</f>
        <v/>
      </c>
      <c r="K187" t="str">
        <f>IF(K$5,COUNTIFS(Residents!$G:$G,$A187,Residents!$ID:$ID,1,Residents!$K:$K,$C187,Residents!$IH:$IH,1),"")</f>
        <v/>
      </c>
      <c r="L187" t="str">
        <f>IF(L$5,COUNTIFS(Residents!$G:$G,$A187,Residents!$ID:$ID,1,Residents!$K:$K,$C187,Residents!$IH:$IH,1),"")</f>
        <v/>
      </c>
      <c r="M187" t="str">
        <f>IF(M$5,COUNTIFS(Residents!$G:$G,$A187,Residents!$ID:$ID,1,Residents!$K:$K,$C187,Residents!$IH:$IH,1),"")</f>
        <v/>
      </c>
      <c r="N187" t="str">
        <f>IF(N$5,COUNTIFS(Residents!$G:$G,$A187,Residents!$ID:$ID,1,Residents!$K:$K,$C187,Residents!$IH:$IH,1),"")</f>
        <v/>
      </c>
      <c r="O187" t="str">
        <f>IF(O$5,COUNTIFS(Residents!$G:$G,$A187,Residents!$ID:$ID,1,Residents!$K:$K,$C187,Residents!$IH:$IH,1),"")</f>
        <v/>
      </c>
      <c r="P187" t="str">
        <f>IF(P$5,COUNTIFS(Residents!$G:$G,$A187,Residents!$ID:$ID,1,Residents!$K:$K,$C187,Residents!$IH:$IH,1),"")</f>
        <v/>
      </c>
      <c r="Q187" t="str">
        <f>IF(Q$5,COUNTIFS(Residents!$G:$G,$A187,Residents!$ID:$ID,1,Residents!$K:$K,$C187,Residents!$IH:$IH,1),"")</f>
        <v/>
      </c>
      <c r="R187" t="str">
        <f>IF(R$5,COUNTIFS(Residents!$G:$G,$A187,Residents!$ID:$ID,1,Residents!$K:$K,$C187,Residents!$IH:$IH,1),"")</f>
        <v/>
      </c>
    </row>
    <row r="188" spans="1:18" ht="15">
      <c r="A188" t="s">
        <v>41</v>
      </c>
      <c r="B188" t="str">
        <f>"Number of individuals living with "&amp;C188&amp;" dementia with at least one psychotropic medication order"</f>
        <v>Number of individuals living with MIXED dementia with at least one psychotropic medication order</v>
      </c>
      <c r="C188" t="s">
        <v>855</v>
      </c>
      <c r="E188" t="s">
        <v>465</v>
      </c>
      <c r="F188" t="str">
        <f>IF(F$5,COUNTIFS(Residents!$G:$G,$A188,Residents!$ID:$ID,1,Residents!$K:$K,$C188,Residents!$IH:$IH,1),"")</f>
        <v/>
      </c>
      <c r="G188" t="str">
        <f>IF(G$5,COUNTIFS(Residents!$G:$G,$A188,Residents!$ID:$ID,1,Residents!$K:$K,$C188,Residents!$IH:$IH,1),"")</f>
        <v/>
      </c>
      <c r="H188" t="str">
        <f>IF(H$5,COUNTIFS(Residents!$G:$G,$A188,Residents!$ID:$ID,1,Residents!$K:$K,$C188,Residents!$IH:$IH,1),"")</f>
        <v/>
      </c>
      <c r="I188" t="str">
        <f>IF(I$5,COUNTIFS(Residents!$G:$G,$A188,Residents!$ID:$ID,1,Residents!$K:$K,$C188,Residents!$IH:$IH,1),"")</f>
        <v/>
      </c>
      <c r="J188" t="str">
        <f>IF(J$5,COUNTIFS(Residents!$G:$G,$A188,Residents!$ID:$ID,1,Residents!$K:$K,$C188,Residents!$IH:$IH,1),"")</f>
        <v/>
      </c>
      <c r="K188" t="str">
        <f>IF(K$5,COUNTIFS(Residents!$G:$G,$A188,Residents!$ID:$ID,1,Residents!$K:$K,$C188,Residents!$IH:$IH,1),"")</f>
        <v/>
      </c>
      <c r="L188" t="str">
        <f>IF(L$5,COUNTIFS(Residents!$G:$G,$A188,Residents!$ID:$ID,1,Residents!$K:$K,$C188,Residents!$IH:$IH,1),"")</f>
        <v/>
      </c>
      <c r="M188" t="str">
        <f>IF(M$5,COUNTIFS(Residents!$G:$G,$A188,Residents!$ID:$ID,1,Residents!$K:$K,$C188,Residents!$IH:$IH,1),"")</f>
        <v/>
      </c>
      <c r="N188" t="str">
        <f>IF(N$5,COUNTIFS(Residents!$G:$G,$A188,Residents!$ID:$ID,1,Residents!$K:$K,$C188,Residents!$IH:$IH,1),"")</f>
        <v/>
      </c>
      <c r="O188" t="str">
        <f>IF(O$5,COUNTIFS(Residents!$G:$G,$A188,Residents!$ID:$ID,1,Residents!$K:$K,$C188,Residents!$IH:$IH,1),"")</f>
        <v/>
      </c>
      <c r="P188" t="str">
        <f>IF(P$5,COUNTIFS(Residents!$G:$G,$A188,Residents!$ID:$ID,1,Residents!$K:$K,$C188,Residents!$IH:$IH,1),"")</f>
        <v/>
      </c>
      <c r="Q188" t="str">
        <f>IF(Q$5,COUNTIFS(Residents!$G:$G,$A188,Residents!$ID:$ID,1,Residents!$K:$K,$C188,Residents!$IH:$IH,1),"")</f>
        <v/>
      </c>
      <c r="R188" t="str">
        <f>IF(R$5,COUNTIFS(Residents!$G:$G,$A188,Residents!$ID:$ID,1,Residents!$K:$K,$C188,Residents!$IH:$IH,1),"")</f>
        <v/>
      </c>
    </row>
    <row r="189" spans="1:18" ht="15">
      <c r="A189" t="s">
        <v>41</v>
      </c>
      <c r="B189" t="str">
        <f>"Number of individuals living with "&amp;C189&amp;" dementia with at least one psychotropic medication order"</f>
        <v>Number of individuals living with OTHER dementia with at least one psychotropic medication order</v>
      </c>
      <c r="C189" t="s">
        <v>871</v>
      </c>
      <c r="E189" t="s">
        <v>465</v>
      </c>
      <c r="F189" t="str">
        <f>IF(F$5,COUNTIFS(Residents!$G:$G,$A189,Residents!$ID:$ID,1,Residents!$K:$K,$C189,Residents!$IH:$IH,1),"")</f>
        <v/>
      </c>
      <c r="G189" t="str">
        <f>IF(G$5,COUNTIFS(Residents!$G:$G,$A189,Residents!$ID:$ID,1,Residents!$K:$K,$C189,Residents!$IH:$IH,1),"")</f>
        <v/>
      </c>
      <c r="H189" t="str">
        <f>IF(H$5,COUNTIFS(Residents!$G:$G,$A189,Residents!$ID:$ID,1,Residents!$K:$K,$C189,Residents!$IH:$IH,1),"")</f>
        <v/>
      </c>
      <c r="I189" t="str">
        <f>IF(I$5,COUNTIFS(Residents!$G:$G,$A189,Residents!$ID:$ID,1,Residents!$K:$K,$C189,Residents!$IH:$IH,1),"")</f>
        <v/>
      </c>
      <c r="J189" t="str">
        <f>IF(J$5,COUNTIFS(Residents!$G:$G,$A189,Residents!$ID:$ID,1,Residents!$K:$K,$C189,Residents!$IH:$IH,1),"")</f>
        <v/>
      </c>
      <c r="K189" t="str">
        <f>IF(K$5,COUNTIFS(Residents!$G:$G,$A189,Residents!$ID:$ID,1,Residents!$K:$K,$C189,Residents!$IH:$IH,1),"")</f>
        <v/>
      </c>
      <c r="L189" t="str">
        <f>IF(L$5,COUNTIFS(Residents!$G:$G,$A189,Residents!$ID:$ID,1,Residents!$K:$K,$C189,Residents!$IH:$IH,1),"")</f>
        <v/>
      </c>
      <c r="M189" t="str">
        <f>IF(M$5,COUNTIFS(Residents!$G:$G,$A189,Residents!$ID:$ID,1,Residents!$K:$K,$C189,Residents!$IH:$IH,1),"")</f>
        <v/>
      </c>
      <c r="N189" t="str">
        <f>IF(N$5,COUNTIFS(Residents!$G:$G,$A189,Residents!$ID:$ID,1,Residents!$K:$K,$C189,Residents!$IH:$IH,1),"")</f>
        <v/>
      </c>
      <c r="O189" t="str">
        <f>IF(O$5,COUNTIFS(Residents!$G:$G,$A189,Residents!$ID:$ID,1,Residents!$K:$K,$C189,Residents!$IH:$IH,1),"")</f>
        <v/>
      </c>
      <c r="P189" t="str">
        <f>IF(P$5,COUNTIFS(Residents!$G:$G,$A189,Residents!$ID:$ID,1,Residents!$K:$K,$C189,Residents!$IH:$IH,1),"")</f>
        <v/>
      </c>
      <c r="Q189" t="str">
        <f>IF(Q$5,COUNTIFS(Residents!$G:$G,$A189,Residents!$ID:$ID,1,Residents!$K:$K,$C189,Residents!$IH:$IH,1),"")</f>
        <v/>
      </c>
      <c r="R189" t="str">
        <f>IF(R$5,COUNTIFS(Residents!$G:$G,$A189,Residents!$ID:$ID,1,Residents!$K:$K,$C189,Residents!$IH:$IH,1),"")</f>
        <v/>
      </c>
    </row>
    <row r="190" spans="1:18" ht="15">
      <c r="A190" t="s">
        <v>41</v>
      </c>
      <c r="B190" t="str">
        <f>"Number of individuals with "&amp;C190&amp;" mental health diagnosis"</f>
        <v>Number of individuals with Anxiety mental health diagnosis</v>
      </c>
      <c r="C190" t="s">
        <v>34</v>
      </c>
      <c r="E190" t="s">
        <v>465</v>
      </c>
      <c r="F190" t="str">
        <f>IF(F$5,COUNTIFS(Residents!$G:$G,$A190,Residents!$ID:$ID,1,Residents!$N:$N,1),"")</f>
        <v/>
      </c>
      <c r="G190" t="str">
        <f>IF(G$5,COUNTIFS(Residents!$G:$G,$A190,Residents!$ID:$ID,1,Residents!$N:$N,1),"")</f>
        <v/>
      </c>
      <c r="H190" t="str">
        <f>IF(H$5,COUNTIFS(Residents!$G:$G,$A190,Residents!$ID:$ID,1,Residents!$N:$N,1),"")</f>
        <v/>
      </c>
      <c r="I190" t="str">
        <f>IF(I$5,COUNTIFS(Residents!$G:$G,$A190,Residents!$ID:$ID,1,Residents!$N:$N,1),"")</f>
        <v/>
      </c>
      <c r="J190" t="str">
        <f>IF(J$5,COUNTIFS(Residents!$G:$G,$A190,Residents!$ID:$ID,1,Residents!$N:$N,1),"")</f>
        <v/>
      </c>
      <c r="K190" t="str">
        <f>IF(K$5,COUNTIFS(Residents!$G:$G,$A190,Residents!$ID:$ID,1,Residents!$N:$N,1),"")</f>
        <v/>
      </c>
      <c r="L190" t="str">
        <f>IF(L$5,COUNTIFS(Residents!$G:$G,$A190,Residents!$ID:$ID,1,Residents!$N:$N,1),"")</f>
        <v/>
      </c>
      <c r="M190" t="str">
        <f>IF(M$5,COUNTIFS(Residents!$G:$G,$A190,Residents!$ID:$ID,1,Residents!$N:$N,1),"")</f>
        <v/>
      </c>
      <c r="N190" t="str">
        <f>IF(N$5,COUNTIFS(Residents!$G:$G,$A190,Residents!$ID:$ID,1,Residents!$N:$N,1),"")</f>
        <v/>
      </c>
      <c r="O190" t="str">
        <f>IF(O$5,COUNTIFS(Residents!$G:$G,$A190,Residents!$ID:$ID,1,Residents!$N:$N,1),"")</f>
        <v/>
      </c>
      <c r="P190" t="str">
        <f>IF(P$5,COUNTIFS(Residents!$G:$G,$A190,Residents!$ID:$ID,1,Residents!$N:$N,1),"")</f>
        <v/>
      </c>
      <c r="Q190" t="str">
        <f>IF(Q$5,COUNTIFS(Residents!$G:$G,$A190,Residents!$ID:$ID,1,Residents!$N:$N,1),"")</f>
        <v/>
      </c>
      <c r="R190" t="str">
        <f>IF(R$5,COUNTIFS(Residents!$G:$G,$A190,Residents!$ID:$ID,1,Residents!$N:$N,1),"")</f>
        <v/>
      </c>
    </row>
    <row r="191" spans="1:18" ht="15">
      <c r="A191" t="s">
        <v>41</v>
      </c>
      <c r="B191" t="str">
        <f aca="true" t="shared" si="36" ref="B191:B198">"Number of individuals with "&amp;C191&amp;" mental health diagnosis"</f>
        <v>Number of individuals with Bipolar mental health diagnosis</v>
      </c>
      <c r="C191" t="s">
        <v>54</v>
      </c>
      <c r="E191" t="s">
        <v>465</v>
      </c>
      <c r="F191" t="str">
        <f>IF(F$5,COUNTIFS(Residents!$G:$G,$A191,Residents!$ID:$ID,1,Residents!$O:$O,1),"")</f>
        <v/>
      </c>
      <c r="G191" t="str">
        <f>IF(G$5,COUNTIFS(Residents!$G:$G,$A191,Residents!$ID:$ID,1,Residents!$O:$O,1),"")</f>
        <v/>
      </c>
      <c r="H191" t="str">
        <f>IF(H$5,COUNTIFS(Residents!$G:$G,$A191,Residents!$ID:$ID,1,Residents!$O:$O,1),"")</f>
        <v/>
      </c>
      <c r="I191" t="str">
        <f>IF(I$5,COUNTIFS(Residents!$G:$G,$A191,Residents!$ID:$ID,1,Residents!$O:$O,1),"")</f>
        <v/>
      </c>
      <c r="J191" t="str">
        <f>IF(J$5,COUNTIFS(Residents!$G:$G,$A191,Residents!$ID:$ID,1,Residents!$O:$O,1),"")</f>
        <v/>
      </c>
      <c r="K191" t="str">
        <f>IF(K$5,COUNTIFS(Residents!$G:$G,$A191,Residents!$ID:$ID,1,Residents!$O:$O,1),"")</f>
        <v/>
      </c>
      <c r="L191" t="str">
        <f>IF(L$5,COUNTIFS(Residents!$G:$G,$A191,Residents!$ID:$ID,1,Residents!$O:$O,1),"")</f>
        <v/>
      </c>
      <c r="M191" t="str">
        <f>IF(M$5,COUNTIFS(Residents!$G:$G,$A191,Residents!$ID:$ID,1,Residents!$O:$O,1),"")</f>
        <v/>
      </c>
      <c r="N191" t="str">
        <f>IF(N$5,COUNTIFS(Residents!$G:$G,$A191,Residents!$ID:$ID,1,Residents!$O:$O,1),"")</f>
        <v/>
      </c>
      <c r="O191" t="str">
        <f>IF(O$5,COUNTIFS(Residents!$G:$G,$A191,Residents!$ID:$ID,1,Residents!$O:$O,1),"")</f>
        <v/>
      </c>
      <c r="P191" t="str">
        <f>IF(P$5,COUNTIFS(Residents!$G:$G,$A191,Residents!$ID:$ID,1,Residents!$O:$O,1),"")</f>
        <v/>
      </c>
      <c r="Q191" t="str">
        <f>IF(Q$5,COUNTIFS(Residents!$G:$G,$A191,Residents!$ID:$ID,1,Residents!$O:$O,1),"")</f>
        <v/>
      </c>
      <c r="R191" t="str">
        <f>IF(R$5,COUNTIFS(Residents!$G:$G,$A191,Residents!$ID:$ID,1,Residents!$O:$O,1),"")</f>
        <v/>
      </c>
    </row>
    <row r="192" spans="1:18" ht="15">
      <c r="A192" t="s">
        <v>41</v>
      </c>
      <c r="B192" t="str">
        <f t="shared" si="36"/>
        <v>Number of individuals with Delirium mental health diagnosis</v>
      </c>
      <c r="C192" t="s">
        <v>55</v>
      </c>
      <c r="E192" t="s">
        <v>465</v>
      </c>
      <c r="F192" t="str">
        <f>IF(F$5,COUNTIFS(Residents!$G:$G,$A192,Residents!$ID:$ID,1,Residents!$P:$P,1),"")</f>
        <v/>
      </c>
      <c r="G192" t="str">
        <f>IF(G$5,COUNTIFS(Residents!$G:$G,$A192,Residents!$ID:$ID,1,Residents!$P:$P,1),"")</f>
        <v/>
      </c>
      <c r="H192" t="str">
        <f>IF(H$5,COUNTIFS(Residents!$G:$G,$A192,Residents!$ID:$ID,1,Residents!$P:$P,1),"")</f>
        <v/>
      </c>
      <c r="I192" t="str">
        <f>IF(I$5,COUNTIFS(Residents!$G:$G,$A192,Residents!$ID:$ID,1,Residents!$P:$P,1),"")</f>
        <v/>
      </c>
      <c r="J192" t="str">
        <f>IF(J$5,COUNTIFS(Residents!$G:$G,$A192,Residents!$ID:$ID,1,Residents!$P:$P,1),"")</f>
        <v/>
      </c>
      <c r="K192" t="str">
        <f>IF(K$5,COUNTIFS(Residents!$G:$G,$A192,Residents!$ID:$ID,1,Residents!$P:$P,1),"")</f>
        <v/>
      </c>
      <c r="L192" t="str">
        <f>IF(L$5,COUNTIFS(Residents!$G:$G,$A192,Residents!$ID:$ID,1,Residents!$P:$P,1),"")</f>
        <v/>
      </c>
      <c r="M192" t="str">
        <f>IF(M$5,COUNTIFS(Residents!$G:$G,$A192,Residents!$ID:$ID,1,Residents!$P:$P,1),"")</f>
        <v/>
      </c>
      <c r="N192" t="str">
        <f>IF(N$5,COUNTIFS(Residents!$G:$G,$A192,Residents!$ID:$ID,1,Residents!$P:$P,1),"")</f>
        <v/>
      </c>
      <c r="O192" t="str">
        <f>IF(O$5,COUNTIFS(Residents!$G:$G,$A192,Residents!$ID:$ID,1,Residents!$P:$P,1),"")</f>
        <v/>
      </c>
      <c r="P192" t="str">
        <f>IF(P$5,COUNTIFS(Residents!$G:$G,$A192,Residents!$ID:$ID,1,Residents!$P:$P,1),"")</f>
        <v/>
      </c>
      <c r="Q192" t="str">
        <f>IF(Q$5,COUNTIFS(Residents!$G:$G,$A192,Residents!$ID:$ID,1,Residents!$P:$P,1),"")</f>
        <v/>
      </c>
      <c r="R192" t="str">
        <f>IF(R$5,COUNTIFS(Residents!$G:$G,$A192,Residents!$ID:$ID,1,Residents!$P:$P,1),"")</f>
        <v/>
      </c>
    </row>
    <row r="193" spans="1:18" ht="15">
      <c r="A193" t="s">
        <v>41</v>
      </c>
      <c r="B193" t="str">
        <f t="shared" si="36"/>
        <v>Number of individuals with Depression mental health diagnosis</v>
      </c>
      <c r="C193" t="s">
        <v>56</v>
      </c>
      <c r="E193" t="s">
        <v>465</v>
      </c>
      <c r="F193" t="str">
        <f>IF(F$5,COUNTIFS(Residents!$G:$G,$A193,Residents!$ID:$ID,1,Residents!$Q:$Q,1),"")</f>
        <v/>
      </c>
      <c r="G193" t="str">
        <f>IF(G$5,COUNTIFS(Residents!$G:$G,$A193,Residents!$ID:$ID,1,Residents!$Q:$Q,1),"")</f>
        <v/>
      </c>
      <c r="H193" t="str">
        <f>IF(H$5,COUNTIFS(Residents!$G:$G,$A193,Residents!$ID:$ID,1,Residents!$Q:$Q,1),"")</f>
        <v/>
      </c>
      <c r="I193" t="str">
        <f>IF(I$5,COUNTIFS(Residents!$G:$G,$A193,Residents!$ID:$ID,1,Residents!$Q:$Q,1),"")</f>
        <v/>
      </c>
      <c r="J193" t="str">
        <f>IF(J$5,COUNTIFS(Residents!$G:$G,$A193,Residents!$ID:$ID,1,Residents!$Q:$Q,1),"")</f>
        <v/>
      </c>
      <c r="K193" t="str">
        <f>IF(K$5,COUNTIFS(Residents!$G:$G,$A193,Residents!$ID:$ID,1,Residents!$Q:$Q,1),"")</f>
        <v/>
      </c>
      <c r="L193" t="str">
        <f>IF(L$5,COUNTIFS(Residents!$G:$G,$A193,Residents!$ID:$ID,1,Residents!$Q:$Q,1),"")</f>
        <v/>
      </c>
      <c r="M193" t="str">
        <f>IF(M$5,COUNTIFS(Residents!$G:$G,$A193,Residents!$ID:$ID,1,Residents!$Q:$Q,1),"")</f>
        <v/>
      </c>
      <c r="N193" t="str">
        <f>IF(N$5,COUNTIFS(Residents!$G:$G,$A193,Residents!$ID:$ID,1,Residents!$Q:$Q,1),"")</f>
        <v/>
      </c>
      <c r="O193" t="str">
        <f>IF(O$5,COUNTIFS(Residents!$G:$G,$A193,Residents!$ID:$ID,1,Residents!$Q:$Q,1),"")</f>
        <v/>
      </c>
      <c r="P193" t="str">
        <f>IF(P$5,COUNTIFS(Residents!$G:$G,$A193,Residents!$ID:$ID,1,Residents!$Q:$Q,1),"")</f>
        <v/>
      </c>
      <c r="Q193" t="str">
        <f>IF(Q$5,COUNTIFS(Residents!$G:$G,$A193,Residents!$ID:$ID,1,Residents!$Q:$Q,1),"")</f>
        <v/>
      </c>
      <c r="R193" t="str">
        <f>IF(R$5,COUNTIFS(Residents!$G:$G,$A193,Residents!$ID:$ID,1,Residents!$Q:$Q,1),"")</f>
        <v/>
      </c>
    </row>
    <row r="194" spans="1:18" ht="15">
      <c r="A194" t="s">
        <v>41</v>
      </c>
      <c r="B194" t="str">
        <f t="shared" si="36"/>
        <v>Number of individuals with Huntingtons mental health diagnosis</v>
      </c>
      <c r="C194" t="s">
        <v>57</v>
      </c>
      <c r="E194" t="s">
        <v>465</v>
      </c>
      <c r="F194" t="str">
        <f>IF(F$5,COUNTIFS(Residents!$G:$G,$A194,Residents!$ID:$ID,1,Residents!$R:$R,1),"")</f>
        <v/>
      </c>
      <c r="G194" t="str">
        <f>IF(G$5,COUNTIFS(Residents!$G:$G,$A194,Residents!$ID:$ID,1,Residents!$R:$R,1),"")</f>
        <v/>
      </c>
      <c r="H194" t="str">
        <f>IF(H$5,COUNTIFS(Residents!$G:$G,$A194,Residents!$ID:$ID,1,Residents!$R:$R,1),"")</f>
        <v/>
      </c>
      <c r="I194" t="str">
        <f>IF(I$5,COUNTIFS(Residents!$G:$G,$A194,Residents!$ID:$ID,1,Residents!$R:$R,1),"")</f>
        <v/>
      </c>
      <c r="J194" t="str">
        <f>IF(J$5,COUNTIFS(Residents!$G:$G,$A194,Residents!$ID:$ID,1,Residents!$R:$R,1),"")</f>
        <v/>
      </c>
      <c r="K194" t="str">
        <f>IF(K$5,COUNTIFS(Residents!$G:$G,$A194,Residents!$ID:$ID,1,Residents!$R:$R,1),"")</f>
        <v/>
      </c>
      <c r="L194" t="str">
        <f>IF(L$5,COUNTIFS(Residents!$G:$G,$A194,Residents!$ID:$ID,1,Residents!$R:$R,1),"")</f>
        <v/>
      </c>
      <c r="M194" t="str">
        <f>IF(M$5,COUNTIFS(Residents!$G:$G,$A194,Residents!$ID:$ID,1,Residents!$R:$R,1),"")</f>
        <v/>
      </c>
      <c r="N194" t="str">
        <f>IF(N$5,COUNTIFS(Residents!$G:$G,$A194,Residents!$ID:$ID,1,Residents!$R:$R,1),"")</f>
        <v/>
      </c>
      <c r="O194" t="str">
        <f>IF(O$5,COUNTIFS(Residents!$G:$G,$A194,Residents!$ID:$ID,1,Residents!$R:$R,1),"")</f>
        <v/>
      </c>
      <c r="P194" t="str">
        <f>IF(P$5,COUNTIFS(Residents!$G:$G,$A194,Residents!$ID:$ID,1,Residents!$R:$R,1),"")</f>
        <v/>
      </c>
      <c r="Q194" t="str">
        <f>IF(Q$5,COUNTIFS(Residents!$G:$G,$A194,Residents!$ID:$ID,1,Residents!$R:$R,1),"")</f>
        <v/>
      </c>
      <c r="R194" t="str">
        <f>IF(R$5,COUNTIFS(Residents!$G:$G,$A194,Residents!$ID:$ID,1,Residents!$R:$R,1),"")</f>
        <v/>
      </c>
    </row>
    <row r="195" spans="1:18" ht="15">
      <c r="A195" t="s">
        <v>41</v>
      </c>
      <c r="B195" t="str">
        <f t="shared" si="36"/>
        <v>Number of individuals with PTSD mental health diagnosis</v>
      </c>
      <c r="C195" t="s">
        <v>58</v>
      </c>
      <c r="E195" t="s">
        <v>465</v>
      </c>
      <c r="F195" t="str">
        <f>IF(F$5,COUNTIFS(Residents!$G:$G,$A195,Residents!$ID:$ID,1,Residents!$S:$S,1),"")</f>
        <v/>
      </c>
      <c r="G195" t="str">
        <f>IF(G$5,COUNTIFS(Residents!$G:$G,$A195,Residents!$ID:$ID,1,Residents!$S:$S,1),"")</f>
        <v/>
      </c>
      <c r="H195" t="str">
        <f>IF(H$5,COUNTIFS(Residents!$G:$G,$A195,Residents!$ID:$ID,1,Residents!$S:$S,1),"")</f>
        <v/>
      </c>
      <c r="I195" t="str">
        <f>IF(I$5,COUNTIFS(Residents!$G:$G,$A195,Residents!$ID:$ID,1,Residents!$S:$S,1),"")</f>
        <v/>
      </c>
      <c r="J195" t="str">
        <f>IF(J$5,COUNTIFS(Residents!$G:$G,$A195,Residents!$ID:$ID,1,Residents!$S:$S,1),"")</f>
        <v/>
      </c>
      <c r="K195" t="str">
        <f>IF(K$5,COUNTIFS(Residents!$G:$G,$A195,Residents!$ID:$ID,1,Residents!$S:$S,1),"")</f>
        <v/>
      </c>
      <c r="L195" t="str">
        <f>IF(L$5,COUNTIFS(Residents!$G:$G,$A195,Residents!$ID:$ID,1,Residents!$S:$S,1),"")</f>
        <v/>
      </c>
      <c r="M195" t="str">
        <f>IF(M$5,COUNTIFS(Residents!$G:$G,$A195,Residents!$ID:$ID,1,Residents!$S:$S,1),"")</f>
        <v/>
      </c>
      <c r="N195" t="str">
        <f>IF(N$5,COUNTIFS(Residents!$G:$G,$A195,Residents!$ID:$ID,1,Residents!$S:$S,1),"")</f>
        <v/>
      </c>
      <c r="O195" t="str">
        <f>IF(O$5,COUNTIFS(Residents!$G:$G,$A195,Residents!$ID:$ID,1,Residents!$S:$S,1),"")</f>
        <v/>
      </c>
      <c r="P195" t="str">
        <f>IF(P$5,COUNTIFS(Residents!$G:$G,$A195,Residents!$ID:$ID,1,Residents!$S:$S,1),"")</f>
        <v/>
      </c>
      <c r="Q195" t="str">
        <f>IF(Q$5,COUNTIFS(Residents!$G:$G,$A195,Residents!$ID:$ID,1,Residents!$S:$S,1),"")</f>
        <v/>
      </c>
      <c r="R195" t="str">
        <f>IF(R$5,COUNTIFS(Residents!$G:$G,$A195,Residents!$ID:$ID,1,Residents!$S:$S,1),"")</f>
        <v/>
      </c>
    </row>
    <row r="196" spans="1:18" ht="15">
      <c r="A196" t="s">
        <v>41</v>
      </c>
      <c r="B196" t="str">
        <f t="shared" si="36"/>
        <v>Number of individuals with Schizophrenia mental health diagnosis</v>
      </c>
      <c r="C196" t="s">
        <v>59</v>
      </c>
      <c r="E196" t="s">
        <v>465</v>
      </c>
      <c r="F196" t="str">
        <f>IF(F$5,COUNTIFS(Residents!$G:$G,$A196,Residents!$ID:$ID,1,Residents!$T:$T,1),"")</f>
        <v/>
      </c>
      <c r="G196" t="str">
        <f>IF(G$5,COUNTIFS(Residents!$G:$G,$A196,Residents!$ID:$ID,1,Residents!$T:$T,1),"")</f>
        <v/>
      </c>
      <c r="H196" t="str">
        <f>IF(H$5,COUNTIFS(Residents!$G:$G,$A196,Residents!$ID:$ID,1,Residents!$T:$T,1),"")</f>
        <v/>
      </c>
      <c r="I196" t="str">
        <f>IF(I$5,COUNTIFS(Residents!$G:$G,$A196,Residents!$ID:$ID,1,Residents!$T:$T,1),"")</f>
        <v/>
      </c>
      <c r="J196" t="str">
        <f>IF(J$5,COUNTIFS(Residents!$G:$G,$A196,Residents!$ID:$ID,1,Residents!$T:$T,1),"")</f>
        <v/>
      </c>
      <c r="K196" t="str">
        <f>IF(K$5,COUNTIFS(Residents!$G:$G,$A196,Residents!$ID:$ID,1,Residents!$T:$T,1),"")</f>
        <v/>
      </c>
      <c r="L196" t="str">
        <f>IF(L$5,COUNTIFS(Residents!$G:$G,$A196,Residents!$ID:$ID,1,Residents!$T:$T,1),"")</f>
        <v/>
      </c>
      <c r="M196" t="str">
        <f>IF(M$5,COUNTIFS(Residents!$G:$G,$A196,Residents!$ID:$ID,1,Residents!$T:$T,1),"")</f>
        <v/>
      </c>
      <c r="N196" t="str">
        <f>IF(N$5,COUNTIFS(Residents!$G:$G,$A196,Residents!$ID:$ID,1,Residents!$T:$T,1),"")</f>
        <v/>
      </c>
      <c r="O196" t="str">
        <f>IF(O$5,COUNTIFS(Residents!$G:$G,$A196,Residents!$ID:$ID,1,Residents!$T:$T,1),"")</f>
        <v/>
      </c>
      <c r="P196" t="str">
        <f>IF(P$5,COUNTIFS(Residents!$G:$G,$A196,Residents!$ID:$ID,1,Residents!$T:$T,1),"")</f>
        <v/>
      </c>
      <c r="Q196" t="str">
        <f>IF(Q$5,COUNTIFS(Residents!$G:$G,$A196,Residents!$ID:$ID,1,Residents!$T:$T,1),"")</f>
        <v/>
      </c>
      <c r="R196" t="str">
        <f>IF(R$5,COUNTIFS(Residents!$G:$G,$A196,Residents!$ID:$ID,1,Residents!$T:$T,1),"")</f>
        <v/>
      </c>
    </row>
    <row r="197" spans="1:18" ht="15">
      <c r="A197" t="s">
        <v>41</v>
      </c>
      <c r="B197" t="str">
        <f t="shared" si="36"/>
        <v>Number of individuals with Tourettes mental health diagnosis</v>
      </c>
      <c r="C197" t="s">
        <v>60</v>
      </c>
      <c r="E197" t="s">
        <v>465</v>
      </c>
      <c r="F197" t="str">
        <f>IF(F$5,COUNTIFS(Residents!$G:$G,$A197,Residents!$ID:$ID,1,Residents!$U:$U,1),"")</f>
        <v/>
      </c>
      <c r="G197" t="str">
        <f>IF(G$5,COUNTIFS(Residents!$G:$G,$A197,Residents!$ID:$ID,1,Residents!$U:$U,1),"")</f>
        <v/>
      </c>
      <c r="H197" t="str">
        <f>IF(H$5,COUNTIFS(Residents!$G:$G,$A197,Residents!$ID:$ID,1,Residents!$U:$U,1),"")</f>
        <v/>
      </c>
      <c r="I197" t="str">
        <f>IF(I$5,COUNTIFS(Residents!$G:$G,$A197,Residents!$ID:$ID,1,Residents!$U:$U,1),"")</f>
        <v/>
      </c>
      <c r="J197" t="str">
        <f>IF(J$5,COUNTIFS(Residents!$G:$G,$A197,Residents!$ID:$ID,1,Residents!$U:$U,1),"")</f>
        <v/>
      </c>
      <c r="K197" t="str">
        <f>IF(K$5,COUNTIFS(Residents!$G:$G,$A197,Residents!$ID:$ID,1,Residents!$U:$U,1),"")</f>
        <v/>
      </c>
      <c r="L197" t="str">
        <f>IF(L$5,COUNTIFS(Residents!$G:$G,$A197,Residents!$ID:$ID,1,Residents!$U:$U,1),"")</f>
        <v/>
      </c>
      <c r="M197" t="str">
        <f>IF(M$5,COUNTIFS(Residents!$G:$G,$A197,Residents!$ID:$ID,1,Residents!$U:$U,1),"")</f>
        <v/>
      </c>
      <c r="N197" t="str">
        <f>IF(N$5,COUNTIFS(Residents!$G:$G,$A197,Residents!$ID:$ID,1,Residents!$U:$U,1),"")</f>
        <v/>
      </c>
      <c r="O197" t="str">
        <f>IF(O$5,COUNTIFS(Residents!$G:$G,$A197,Residents!$ID:$ID,1,Residents!$U:$U,1),"")</f>
        <v/>
      </c>
      <c r="P197" t="str">
        <f>IF(P$5,COUNTIFS(Residents!$G:$G,$A197,Residents!$ID:$ID,1,Residents!$U:$U,1),"")</f>
        <v/>
      </c>
      <c r="Q197" t="str">
        <f>IF(Q$5,COUNTIFS(Residents!$G:$G,$A197,Residents!$ID:$ID,1,Residents!$U:$U,1),"")</f>
        <v/>
      </c>
      <c r="R197" t="str">
        <f>IF(R$5,COUNTIFS(Residents!$G:$G,$A197,Residents!$ID:$ID,1,Residents!$U:$U,1),"")</f>
        <v/>
      </c>
    </row>
    <row r="198" spans="1:18" ht="15">
      <c r="A198" t="s">
        <v>41</v>
      </c>
      <c r="B198" t="str">
        <f t="shared" si="36"/>
        <v>Number of individuals with MHOther mental health diagnosis</v>
      </c>
      <c r="C198" t="s">
        <v>61</v>
      </c>
      <c r="E198" t="s">
        <v>465</v>
      </c>
      <c r="F198" t="str">
        <f>IF(F$5,COUNTIFS(Residents!$G:$G,$A198,Residents!$ID:$ID,1,Residents!$V:$V,1),"")</f>
        <v/>
      </c>
      <c r="G198" t="str">
        <f>IF(G$5,COUNTIFS(Residents!$G:$G,$A198,Residents!$ID:$ID,1,Residents!$V:$V,1),"")</f>
        <v/>
      </c>
      <c r="H198" t="str">
        <f>IF(H$5,COUNTIFS(Residents!$G:$G,$A198,Residents!$ID:$ID,1,Residents!$V:$V,1),"")</f>
        <v/>
      </c>
      <c r="I198" t="str">
        <f>IF(I$5,COUNTIFS(Residents!$G:$G,$A198,Residents!$ID:$ID,1,Residents!$V:$V,1),"")</f>
        <v/>
      </c>
      <c r="J198" t="str">
        <f>IF(J$5,COUNTIFS(Residents!$G:$G,$A198,Residents!$ID:$ID,1,Residents!$V:$V,1),"")</f>
        <v/>
      </c>
      <c r="K198" t="str">
        <f>IF(K$5,COUNTIFS(Residents!$G:$G,$A198,Residents!$ID:$ID,1,Residents!$V:$V,1),"")</f>
        <v/>
      </c>
      <c r="L198" t="str">
        <f>IF(L$5,COUNTIFS(Residents!$G:$G,$A198,Residents!$ID:$ID,1,Residents!$V:$V,1),"")</f>
        <v/>
      </c>
      <c r="M198" t="str">
        <f>IF(M$5,COUNTIFS(Residents!$G:$G,$A198,Residents!$ID:$ID,1,Residents!$V:$V,1),"")</f>
        <v/>
      </c>
      <c r="N198" t="str">
        <f>IF(N$5,COUNTIFS(Residents!$G:$G,$A198,Residents!$ID:$ID,1,Residents!$V:$V,1),"")</f>
        <v/>
      </c>
      <c r="O198" t="str">
        <f>IF(O$5,COUNTIFS(Residents!$G:$G,$A198,Residents!$ID:$ID,1,Residents!$V:$V,1),"")</f>
        <v/>
      </c>
      <c r="P198" t="str">
        <f>IF(P$5,COUNTIFS(Residents!$G:$G,$A198,Residents!$ID:$ID,1,Residents!$V:$V,1),"")</f>
        <v/>
      </c>
      <c r="Q198" t="str">
        <f>IF(Q$5,COUNTIFS(Residents!$G:$G,$A198,Residents!$ID:$ID,1,Residents!$V:$V,1),"")</f>
        <v/>
      </c>
      <c r="R198" t="str">
        <f>IF(R$5,COUNTIFS(Residents!$G:$G,$A198,Residents!$ID:$ID,1,Residents!$V:$V,1),"")</f>
        <v/>
      </c>
    </row>
    <row r="199" spans="1:18" ht="15">
      <c r="A199" t="s">
        <v>41</v>
      </c>
      <c r="B199" t="str">
        <f>"Number of individuals with "&amp;C199&amp;" mental health diagnosis with at least one psychotropic medication order"</f>
        <v>Number of individuals with Anxiety mental health diagnosis with at least one psychotropic medication order</v>
      </c>
      <c r="C199" t="s">
        <v>34</v>
      </c>
      <c r="E199" t="s">
        <v>465</v>
      </c>
      <c r="F199" t="str">
        <f>IF(F$5,COUNTIFS(Residents!$G:$G,$A199,Residents!$ID:$ID,1,Residents!$N:$N,1,Residents!$IH:$IH,1),"")</f>
        <v/>
      </c>
      <c r="G199" t="str">
        <f>IF(G$5,COUNTIFS(Residents!$G:$G,$A199,Residents!$ID:$ID,1,Residents!$N:$N,1,Residents!$IH:$IH,1),"")</f>
        <v/>
      </c>
      <c r="H199" t="str">
        <f>IF(H$5,COUNTIFS(Residents!$G:$G,$A199,Residents!$ID:$ID,1,Residents!$N:$N,1,Residents!$IH:$IH,1),"")</f>
        <v/>
      </c>
      <c r="I199" t="str">
        <f>IF(I$5,COUNTIFS(Residents!$G:$G,$A199,Residents!$ID:$ID,1,Residents!$N:$N,1,Residents!$IH:$IH,1),"")</f>
        <v/>
      </c>
      <c r="J199" t="str">
        <f>IF(J$5,COUNTIFS(Residents!$G:$G,$A199,Residents!$ID:$ID,1,Residents!$N:$N,1,Residents!$IH:$IH,1),"")</f>
        <v/>
      </c>
      <c r="K199" t="str">
        <f>IF(K$5,COUNTIFS(Residents!$G:$G,$A199,Residents!$ID:$ID,1,Residents!$N:$N,1,Residents!$IH:$IH,1),"")</f>
        <v/>
      </c>
      <c r="L199" t="str">
        <f>IF(L$5,COUNTIFS(Residents!$G:$G,$A199,Residents!$ID:$ID,1,Residents!$N:$N,1,Residents!$IH:$IH,1),"")</f>
        <v/>
      </c>
      <c r="M199" t="str">
        <f>IF(M$5,COUNTIFS(Residents!$G:$G,$A199,Residents!$ID:$ID,1,Residents!$N:$N,1,Residents!$IH:$IH,1),"")</f>
        <v/>
      </c>
      <c r="N199" t="str">
        <f>IF(N$5,COUNTIFS(Residents!$G:$G,$A199,Residents!$ID:$ID,1,Residents!$N:$N,1,Residents!$IH:$IH,1),"")</f>
        <v/>
      </c>
      <c r="O199" t="str">
        <f>IF(O$5,COUNTIFS(Residents!$G:$G,$A199,Residents!$ID:$ID,1,Residents!$N:$N,1,Residents!$IH:$IH,1),"")</f>
        <v/>
      </c>
      <c r="P199" t="str">
        <f>IF(P$5,COUNTIFS(Residents!$G:$G,$A199,Residents!$ID:$ID,1,Residents!$N:$N,1,Residents!$IH:$IH,1),"")</f>
        <v/>
      </c>
      <c r="Q199" t="str">
        <f>IF(Q$5,COUNTIFS(Residents!$G:$G,$A199,Residents!$ID:$ID,1,Residents!$N:$N,1,Residents!$IH:$IH,1),"")</f>
        <v/>
      </c>
      <c r="R199" t="str">
        <f>IF(R$5,COUNTIFS(Residents!$G:$G,$A199,Residents!$ID:$ID,1,Residents!$N:$N,1,Residents!$IH:$IH,1),"")</f>
        <v/>
      </c>
    </row>
    <row r="200" spans="1:18" ht="15">
      <c r="A200" t="s">
        <v>41</v>
      </c>
      <c r="B200" t="str">
        <f aca="true" t="shared" si="37" ref="B200:B207">"Number of individuals with "&amp;C200&amp;" mental health diagnosis with at least one psychotropic medication order"</f>
        <v>Number of individuals with Bipolar mental health diagnosis with at least one psychotropic medication order</v>
      </c>
      <c r="C200" t="s">
        <v>54</v>
      </c>
      <c r="E200" t="s">
        <v>465</v>
      </c>
      <c r="F200" t="str">
        <f>IF(F$5,COUNTIFS(Residents!$G:$G,$A200,Residents!$ID:$ID,1,Residents!$O:$O,1,Residents!$IH:$IH,1),"")</f>
        <v/>
      </c>
      <c r="G200" t="str">
        <f>IF(G$5,COUNTIFS(Residents!$G:$G,$A200,Residents!$ID:$ID,1,Residents!$O:$O,1,Residents!$IH:$IH,1),"")</f>
        <v/>
      </c>
      <c r="H200" t="str">
        <f>IF(H$5,COUNTIFS(Residents!$G:$G,$A200,Residents!$ID:$ID,1,Residents!$O:$O,1,Residents!$IH:$IH,1),"")</f>
        <v/>
      </c>
      <c r="I200" t="str">
        <f>IF(I$5,COUNTIFS(Residents!$G:$G,$A200,Residents!$ID:$ID,1,Residents!$O:$O,1,Residents!$IH:$IH,1),"")</f>
        <v/>
      </c>
      <c r="J200" t="str">
        <f>IF(J$5,COUNTIFS(Residents!$G:$G,$A200,Residents!$ID:$ID,1,Residents!$O:$O,1,Residents!$IH:$IH,1),"")</f>
        <v/>
      </c>
      <c r="K200" t="str">
        <f>IF(K$5,COUNTIFS(Residents!$G:$G,$A200,Residents!$ID:$ID,1,Residents!$O:$O,1,Residents!$IH:$IH,1),"")</f>
        <v/>
      </c>
      <c r="L200" t="str">
        <f>IF(L$5,COUNTIFS(Residents!$G:$G,$A200,Residents!$ID:$ID,1,Residents!$O:$O,1,Residents!$IH:$IH,1),"")</f>
        <v/>
      </c>
      <c r="M200" t="str">
        <f>IF(M$5,COUNTIFS(Residents!$G:$G,$A200,Residents!$ID:$ID,1,Residents!$O:$O,1,Residents!$IH:$IH,1),"")</f>
        <v/>
      </c>
      <c r="N200" t="str">
        <f>IF(N$5,COUNTIFS(Residents!$G:$G,$A200,Residents!$ID:$ID,1,Residents!$O:$O,1,Residents!$IH:$IH,1),"")</f>
        <v/>
      </c>
      <c r="O200" t="str">
        <f>IF(O$5,COUNTIFS(Residents!$G:$G,$A200,Residents!$ID:$ID,1,Residents!$O:$O,1,Residents!$IH:$IH,1),"")</f>
        <v/>
      </c>
      <c r="P200" t="str">
        <f>IF(P$5,COUNTIFS(Residents!$G:$G,$A200,Residents!$ID:$ID,1,Residents!$O:$O,1,Residents!$IH:$IH,1),"")</f>
        <v/>
      </c>
      <c r="Q200" t="str">
        <f>IF(Q$5,COUNTIFS(Residents!$G:$G,$A200,Residents!$ID:$ID,1,Residents!$O:$O,1,Residents!$IH:$IH,1),"")</f>
        <v/>
      </c>
      <c r="R200" t="str">
        <f>IF(R$5,COUNTIFS(Residents!$G:$G,$A200,Residents!$ID:$ID,1,Residents!$O:$O,1,Residents!$IH:$IH,1),"")</f>
        <v/>
      </c>
    </row>
    <row r="201" spans="1:18" ht="15">
      <c r="A201" t="s">
        <v>41</v>
      </c>
      <c r="B201" t="str">
        <f t="shared" si="37"/>
        <v>Number of individuals with Delirium mental health diagnosis with at least one psychotropic medication order</v>
      </c>
      <c r="C201" t="s">
        <v>55</v>
      </c>
      <c r="E201" t="s">
        <v>465</v>
      </c>
      <c r="F201" t="str">
        <f>IF(F$5,COUNTIFS(Residents!$G:$G,$A201,Residents!$ID:$ID,1,Residents!$P:$P,1,Residents!$IH:$IH,1),"")</f>
        <v/>
      </c>
      <c r="G201" t="str">
        <f>IF(G$5,COUNTIFS(Residents!$G:$G,$A201,Residents!$ID:$ID,1,Residents!$P:$P,1,Residents!$IH:$IH,1),"")</f>
        <v/>
      </c>
      <c r="H201" t="str">
        <f>IF(H$5,COUNTIFS(Residents!$G:$G,$A201,Residents!$ID:$ID,1,Residents!$P:$P,1,Residents!$IH:$IH,1),"")</f>
        <v/>
      </c>
      <c r="I201" t="str">
        <f>IF(I$5,COUNTIFS(Residents!$G:$G,$A201,Residents!$ID:$ID,1,Residents!$P:$P,1,Residents!$IH:$IH,1),"")</f>
        <v/>
      </c>
      <c r="J201" t="str">
        <f>IF(J$5,COUNTIFS(Residents!$G:$G,$A201,Residents!$ID:$ID,1,Residents!$P:$P,1,Residents!$IH:$IH,1),"")</f>
        <v/>
      </c>
      <c r="K201" t="str">
        <f>IF(K$5,COUNTIFS(Residents!$G:$G,$A201,Residents!$ID:$ID,1,Residents!$P:$P,1,Residents!$IH:$IH,1),"")</f>
        <v/>
      </c>
      <c r="L201" t="str">
        <f>IF(L$5,COUNTIFS(Residents!$G:$G,$A201,Residents!$ID:$ID,1,Residents!$P:$P,1,Residents!$IH:$IH,1),"")</f>
        <v/>
      </c>
      <c r="M201" t="str">
        <f>IF(M$5,COUNTIFS(Residents!$G:$G,$A201,Residents!$ID:$ID,1,Residents!$P:$P,1,Residents!$IH:$IH,1),"")</f>
        <v/>
      </c>
      <c r="N201" t="str">
        <f>IF(N$5,COUNTIFS(Residents!$G:$G,$A201,Residents!$ID:$ID,1,Residents!$P:$P,1,Residents!$IH:$IH,1),"")</f>
        <v/>
      </c>
      <c r="O201" t="str">
        <f>IF(O$5,COUNTIFS(Residents!$G:$G,$A201,Residents!$ID:$ID,1,Residents!$P:$P,1,Residents!$IH:$IH,1),"")</f>
        <v/>
      </c>
      <c r="P201" t="str">
        <f>IF(P$5,COUNTIFS(Residents!$G:$G,$A201,Residents!$ID:$ID,1,Residents!$P:$P,1,Residents!$IH:$IH,1),"")</f>
        <v/>
      </c>
      <c r="Q201" t="str">
        <f>IF(Q$5,COUNTIFS(Residents!$G:$G,$A201,Residents!$ID:$ID,1,Residents!$P:$P,1,Residents!$IH:$IH,1),"")</f>
        <v/>
      </c>
      <c r="R201" t="str">
        <f>IF(R$5,COUNTIFS(Residents!$G:$G,$A201,Residents!$ID:$ID,1,Residents!$P:$P,1,Residents!$IH:$IH,1),"")</f>
        <v/>
      </c>
    </row>
    <row r="202" spans="1:18" ht="15">
      <c r="A202" t="s">
        <v>41</v>
      </c>
      <c r="B202" t="str">
        <f t="shared" si="37"/>
        <v>Number of individuals with Depression mental health diagnosis with at least one psychotropic medication order</v>
      </c>
      <c r="C202" t="s">
        <v>56</v>
      </c>
      <c r="E202" t="s">
        <v>465</v>
      </c>
      <c r="F202" t="str">
        <f>IF(F$5,COUNTIFS(Residents!$G:$G,$A202,Residents!$ID:$ID,1,Residents!$Q:$Q,1,Residents!$IH:$IH,1),"")</f>
        <v/>
      </c>
      <c r="G202" t="str">
        <f>IF(G$5,COUNTIFS(Residents!$G:$G,$A202,Residents!$ID:$ID,1,Residents!$Q:$Q,1,Residents!$IH:$IH,1),"")</f>
        <v/>
      </c>
      <c r="H202" t="str">
        <f>IF(H$5,COUNTIFS(Residents!$G:$G,$A202,Residents!$ID:$ID,1,Residents!$Q:$Q,1,Residents!$IH:$IH,1),"")</f>
        <v/>
      </c>
      <c r="I202" t="str">
        <f>IF(I$5,COUNTIFS(Residents!$G:$G,$A202,Residents!$ID:$ID,1,Residents!$Q:$Q,1,Residents!$IH:$IH,1),"")</f>
        <v/>
      </c>
      <c r="J202" t="str">
        <f>IF(J$5,COUNTIFS(Residents!$G:$G,$A202,Residents!$ID:$ID,1,Residents!$Q:$Q,1,Residents!$IH:$IH,1),"")</f>
        <v/>
      </c>
      <c r="K202" t="str">
        <f>IF(K$5,COUNTIFS(Residents!$G:$G,$A202,Residents!$ID:$ID,1,Residents!$Q:$Q,1,Residents!$IH:$IH,1),"")</f>
        <v/>
      </c>
      <c r="L202" t="str">
        <f>IF(L$5,COUNTIFS(Residents!$G:$G,$A202,Residents!$ID:$ID,1,Residents!$Q:$Q,1,Residents!$IH:$IH,1),"")</f>
        <v/>
      </c>
      <c r="M202" t="str">
        <f>IF(M$5,COUNTIFS(Residents!$G:$G,$A202,Residents!$ID:$ID,1,Residents!$Q:$Q,1,Residents!$IH:$IH,1),"")</f>
        <v/>
      </c>
      <c r="N202" t="str">
        <f>IF(N$5,COUNTIFS(Residents!$G:$G,$A202,Residents!$ID:$ID,1,Residents!$Q:$Q,1,Residents!$IH:$IH,1),"")</f>
        <v/>
      </c>
      <c r="O202" t="str">
        <f>IF(O$5,COUNTIFS(Residents!$G:$G,$A202,Residents!$ID:$ID,1,Residents!$Q:$Q,1,Residents!$IH:$IH,1),"")</f>
        <v/>
      </c>
      <c r="P202" t="str">
        <f>IF(P$5,COUNTIFS(Residents!$G:$G,$A202,Residents!$ID:$ID,1,Residents!$Q:$Q,1,Residents!$IH:$IH,1),"")</f>
        <v/>
      </c>
      <c r="Q202" t="str">
        <f>IF(Q$5,COUNTIFS(Residents!$G:$G,$A202,Residents!$ID:$ID,1,Residents!$Q:$Q,1,Residents!$IH:$IH,1),"")</f>
        <v/>
      </c>
      <c r="R202" t="str">
        <f>IF(R$5,COUNTIFS(Residents!$G:$G,$A202,Residents!$ID:$ID,1,Residents!$Q:$Q,1,Residents!$IH:$IH,1),"")</f>
        <v/>
      </c>
    </row>
    <row r="203" spans="1:18" ht="15">
      <c r="A203" t="s">
        <v>41</v>
      </c>
      <c r="B203" t="str">
        <f t="shared" si="37"/>
        <v>Number of individuals with Huntingtons mental health diagnosis with at least one psychotropic medication order</v>
      </c>
      <c r="C203" t="s">
        <v>57</v>
      </c>
      <c r="E203" t="s">
        <v>465</v>
      </c>
      <c r="F203" t="str">
        <f>IF(F$5,COUNTIFS(Residents!$G:$G,$A203,Residents!$ID:$ID,1,Residents!$R:$R,1,Residents!$IH:$IH,1),"")</f>
        <v/>
      </c>
      <c r="G203" t="str">
        <f>IF(G$5,COUNTIFS(Residents!$G:$G,$A203,Residents!$ID:$ID,1,Residents!$R:$R,1,Residents!$IH:$IH,1),"")</f>
        <v/>
      </c>
      <c r="H203" t="str">
        <f>IF(H$5,COUNTIFS(Residents!$G:$G,$A203,Residents!$ID:$ID,1,Residents!$R:$R,1,Residents!$IH:$IH,1),"")</f>
        <v/>
      </c>
      <c r="I203" t="str">
        <f>IF(I$5,COUNTIFS(Residents!$G:$G,$A203,Residents!$ID:$ID,1,Residents!$R:$R,1,Residents!$IH:$IH,1),"")</f>
        <v/>
      </c>
      <c r="J203" t="str">
        <f>IF(J$5,COUNTIFS(Residents!$G:$G,$A203,Residents!$ID:$ID,1,Residents!$R:$R,1,Residents!$IH:$IH,1),"")</f>
        <v/>
      </c>
      <c r="K203" t="str">
        <f>IF(K$5,COUNTIFS(Residents!$G:$G,$A203,Residents!$ID:$ID,1,Residents!$R:$R,1,Residents!$IH:$IH,1),"")</f>
        <v/>
      </c>
      <c r="L203" t="str">
        <f>IF(L$5,COUNTIFS(Residents!$G:$G,$A203,Residents!$ID:$ID,1,Residents!$R:$R,1,Residents!$IH:$IH,1),"")</f>
        <v/>
      </c>
      <c r="M203" t="str">
        <f>IF(M$5,COUNTIFS(Residents!$G:$G,$A203,Residents!$ID:$ID,1,Residents!$R:$R,1,Residents!$IH:$IH,1),"")</f>
        <v/>
      </c>
      <c r="N203" t="str">
        <f>IF(N$5,COUNTIFS(Residents!$G:$G,$A203,Residents!$ID:$ID,1,Residents!$R:$R,1,Residents!$IH:$IH,1),"")</f>
        <v/>
      </c>
      <c r="O203" t="str">
        <f>IF(O$5,COUNTIFS(Residents!$G:$G,$A203,Residents!$ID:$ID,1,Residents!$R:$R,1,Residents!$IH:$IH,1),"")</f>
        <v/>
      </c>
      <c r="P203" t="str">
        <f>IF(P$5,COUNTIFS(Residents!$G:$G,$A203,Residents!$ID:$ID,1,Residents!$R:$R,1,Residents!$IH:$IH,1),"")</f>
        <v/>
      </c>
      <c r="Q203" t="str">
        <f>IF(Q$5,COUNTIFS(Residents!$G:$G,$A203,Residents!$ID:$ID,1,Residents!$R:$R,1,Residents!$IH:$IH,1),"")</f>
        <v/>
      </c>
      <c r="R203" t="str">
        <f>IF(R$5,COUNTIFS(Residents!$G:$G,$A203,Residents!$ID:$ID,1,Residents!$R:$R,1,Residents!$IH:$IH,1),"")</f>
        <v/>
      </c>
    </row>
    <row r="204" spans="1:18" ht="15">
      <c r="A204" t="s">
        <v>41</v>
      </c>
      <c r="B204" t="str">
        <f t="shared" si="37"/>
        <v>Number of individuals with PTSD mental health diagnosis with at least one psychotropic medication order</v>
      </c>
      <c r="C204" t="s">
        <v>58</v>
      </c>
      <c r="E204" t="s">
        <v>465</v>
      </c>
      <c r="F204" t="str">
        <f>IF(F$5,COUNTIFS(Residents!$G:$G,$A204,Residents!$ID:$ID,1,Residents!$S:$S,1,Residents!$IH:$IH,1),"")</f>
        <v/>
      </c>
      <c r="G204" t="str">
        <f>IF(G$5,COUNTIFS(Residents!$G:$G,$A204,Residents!$ID:$ID,1,Residents!$S:$S,1,Residents!$IH:$IH,1),"")</f>
        <v/>
      </c>
      <c r="H204" t="str">
        <f>IF(H$5,COUNTIFS(Residents!$G:$G,$A204,Residents!$ID:$ID,1,Residents!$S:$S,1,Residents!$IH:$IH,1),"")</f>
        <v/>
      </c>
      <c r="I204" t="str">
        <f>IF(I$5,COUNTIFS(Residents!$G:$G,$A204,Residents!$ID:$ID,1,Residents!$S:$S,1,Residents!$IH:$IH,1),"")</f>
        <v/>
      </c>
      <c r="J204" t="str">
        <f>IF(J$5,COUNTIFS(Residents!$G:$G,$A204,Residents!$ID:$ID,1,Residents!$S:$S,1,Residents!$IH:$IH,1),"")</f>
        <v/>
      </c>
      <c r="K204" t="str">
        <f>IF(K$5,COUNTIFS(Residents!$G:$G,$A204,Residents!$ID:$ID,1,Residents!$S:$S,1,Residents!$IH:$IH,1),"")</f>
        <v/>
      </c>
      <c r="L204" t="str">
        <f>IF(L$5,COUNTIFS(Residents!$G:$G,$A204,Residents!$ID:$ID,1,Residents!$S:$S,1,Residents!$IH:$IH,1),"")</f>
        <v/>
      </c>
      <c r="M204" t="str">
        <f>IF(M$5,COUNTIFS(Residents!$G:$G,$A204,Residents!$ID:$ID,1,Residents!$S:$S,1,Residents!$IH:$IH,1),"")</f>
        <v/>
      </c>
      <c r="N204" t="str">
        <f>IF(N$5,COUNTIFS(Residents!$G:$G,$A204,Residents!$ID:$ID,1,Residents!$S:$S,1,Residents!$IH:$IH,1),"")</f>
        <v/>
      </c>
      <c r="O204" t="str">
        <f>IF(O$5,COUNTIFS(Residents!$G:$G,$A204,Residents!$ID:$ID,1,Residents!$S:$S,1,Residents!$IH:$IH,1),"")</f>
        <v/>
      </c>
      <c r="P204" t="str">
        <f>IF(P$5,COUNTIFS(Residents!$G:$G,$A204,Residents!$ID:$ID,1,Residents!$S:$S,1,Residents!$IH:$IH,1),"")</f>
        <v/>
      </c>
      <c r="Q204" t="str">
        <f>IF(Q$5,COUNTIFS(Residents!$G:$G,$A204,Residents!$ID:$ID,1,Residents!$S:$S,1,Residents!$IH:$IH,1),"")</f>
        <v/>
      </c>
      <c r="R204" t="str">
        <f>IF(R$5,COUNTIFS(Residents!$G:$G,$A204,Residents!$ID:$ID,1,Residents!$S:$S,1,Residents!$IH:$IH,1),"")</f>
        <v/>
      </c>
    </row>
    <row r="205" spans="1:18" ht="15">
      <c r="A205" t="s">
        <v>41</v>
      </c>
      <c r="B205" t="str">
        <f t="shared" si="37"/>
        <v>Number of individuals with Schizophrenia mental health diagnosis with at least one psychotropic medication order</v>
      </c>
      <c r="C205" t="s">
        <v>59</v>
      </c>
      <c r="E205" t="s">
        <v>465</v>
      </c>
      <c r="F205" t="str">
        <f>IF(F$5,COUNTIFS(Residents!$G:$G,$A205,Residents!$ID:$ID,1,Residents!$T:$T,1,Residents!$IH:$IH,1),"")</f>
        <v/>
      </c>
      <c r="G205" t="str">
        <f>IF(G$5,COUNTIFS(Residents!$G:$G,$A205,Residents!$ID:$ID,1,Residents!$T:$T,1,Residents!$IH:$IH,1),"")</f>
        <v/>
      </c>
      <c r="H205" t="str">
        <f>IF(H$5,COUNTIFS(Residents!$G:$G,$A205,Residents!$ID:$ID,1,Residents!$T:$T,1,Residents!$IH:$IH,1),"")</f>
        <v/>
      </c>
      <c r="I205" t="str">
        <f>IF(I$5,COUNTIFS(Residents!$G:$G,$A205,Residents!$ID:$ID,1,Residents!$T:$T,1,Residents!$IH:$IH,1),"")</f>
        <v/>
      </c>
      <c r="J205" t="str">
        <f>IF(J$5,COUNTIFS(Residents!$G:$G,$A205,Residents!$ID:$ID,1,Residents!$T:$T,1,Residents!$IH:$IH,1),"")</f>
        <v/>
      </c>
      <c r="K205" t="str">
        <f>IF(K$5,COUNTIFS(Residents!$G:$G,$A205,Residents!$ID:$ID,1,Residents!$T:$T,1,Residents!$IH:$IH,1),"")</f>
        <v/>
      </c>
      <c r="L205" t="str">
        <f>IF(L$5,COUNTIFS(Residents!$G:$G,$A205,Residents!$ID:$ID,1,Residents!$T:$T,1,Residents!$IH:$IH,1),"")</f>
        <v/>
      </c>
      <c r="M205" t="str">
        <f>IF(M$5,COUNTIFS(Residents!$G:$G,$A205,Residents!$ID:$ID,1,Residents!$T:$T,1,Residents!$IH:$IH,1),"")</f>
        <v/>
      </c>
      <c r="N205" t="str">
        <f>IF(N$5,COUNTIFS(Residents!$G:$G,$A205,Residents!$ID:$ID,1,Residents!$T:$T,1,Residents!$IH:$IH,1),"")</f>
        <v/>
      </c>
      <c r="O205" t="str">
        <f>IF(O$5,COUNTIFS(Residents!$G:$G,$A205,Residents!$ID:$ID,1,Residents!$T:$T,1,Residents!$IH:$IH,1),"")</f>
        <v/>
      </c>
      <c r="P205" t="str">
        <f>IF(P$5,COUNTIFS(Residents!$G:$G,$A205,Residents!$ID:$ID,1,Residents!$T:$T,1,Residents!$IH:$IH,1),"")</f>
        <v/>
      </c>
      <c r="Q205" t="str">
        <f>IF(Q$5,COUNTIFS(Residents!$G:$G,$A205,Residents!$ID:$ID,1,Residents!$T:$T,1,Residents!$IH:$IH,1),"")</f>
        <v/>
      </c>
      <c r="R205" t="str">
        <f>IF(R$5,COUNTIFS(Residents!$G:$G,$A205,Residents!$ID:$ID,1,Residents!$T:$T,1,Residents!$IH:$IH,1),"")</f>
        <v/>
      </c>
    </row>
    <row r="206" spans="1:18" ht="15">
      <c r="A206" t="s">
        <v>41</v>
      </c>
      <c r="B206" t="str">
        <f t="shared" si="37"/>
        <v>Number of individuals with Tourettes mental health diagnosis with at least one psychotropic medication order</v>
      </c>
      <c r="C206" t="s">
        <v>60</v>
      </c>
      <c r="E206" t="s">
        <v>465</v>
      </c>
      <c r="F206" t="str">
        <f>IF(F$5,COUNTIFS(Residents!$G:$G,$A206,Residents!$ID:$ID,1,Residents!$U:$U,1,Residents!$IH:$IH,1),"")</f>
        <v/>
      </c>
      <c r="G206" t="str">
        <f>IF(G$5,COUNTIFS(Residents!$G:$G,$A206,Residents!$ID:$ID,1,Residents!$U:$U,1,Residents!$IH:$IH,1),"")</f>
        <v/>
      </c>
      <c r="H206" t="str">
        <f>IF(H$5,COUNTIFS(Residents!$G:$G,$A206,Residents!$ID:$ID,1,Residents!$U:$U,1,Residents!$IH:$IH,1),"")</f>
        <v/>
      </c>
      <c r="I206" t="str">
        <f>IF(I$5,COUNTIFS(Residents!$G:$G,$A206,Residents!$ID:$ID,1,Residents!$U:$U,1,Residents!$IH:$IH,1),"")</f>
        <v/>
      </c>
      <c r="J206" t="str">
        <f>IF(J$5,COUNTIFS(Residents!$G:$G,$A206,Residents!$ID:$ID,1,Residents!$U:$U,1,Residents!$IH:$IH,1),"")</f>
        <v/>
      </c>
      <c r="K206" t="str">
        <f>IF(K$5,COUNTIFS(Residents!$G:$G,$A206,Residents!$ID:$ID,1,Residents!$U:$U,1,Residents!$IH:$IH,1),"")</f>
        <v/>
      </c>
      <c r="L206" t="str">
        <f>IF(L$5,COUNTIFS(Residents!$G:$G,$A206,Residents!$ID:$ID,1,Residents!$U:$U,1,Residents!$IH:$IH,1),"")</f>
        <v/>
      </c>
      <c r="M206" t="str">
        <f>IF(M$5,COUNTIFS(Residents!$G:$G,$A206,Residents!$ID:$ID,1,Residents!$U:$U,1,Residents!$IH:$IH,1),"")</f>
        <v/>
      </c>
      <c r="N206" t="str">
        <f>IF(N$5,COUNTIFS(Residents!$G:$G,$A206,Residents!$ID:$ID,1,Residents!$U:$U,1,Residents!$IH:$IH,1),"")</f>
        <v/>
      </c>
      <c r="O206" t="str">
        <f>IF(O$5,COUNTIFS(Residents!$G:$G,$A206,Residents!$ID:$ID,1,Residents!$U:$U,1,Residents!$IH:$IH,1),"")</f>
        <v/>
      </c>
      <c r="P206" t="str">
        <f>IF(P$5,COUNTIFS(Residents!$G:$G,$A206,Residents!$ID:$ID,1,Residents!$U:$U,1,Residents!$IH:$IH,1),"")</f>
        <v/>
      </c>
      <c r="Q206" t="str">
        <f>IF(Q$5,COUNTIFS(Residents!$G:$G,$A206,Residents!$ID:$ID,1,Residents!$U:$U,1,Residents!$IH:$IH,1),"")</f>
        <v/>
      </c>
      <c r="R206" t="str">
        <f>IF(R$5,COUNTIFS(Residents!$G:$G,$A206,Residents!$ID:$ID,1,Residents!$U:$U,1,Residents!$IH:$IH,1),"")</f>
        <v/>
      </c>
    </row>
    <row r="207" spans="1:18" ht="15">
      <c r="A207" t="s">
        <v>41</v>
      </c>
      <c r="B207" t="str">
        <f t="shared" si="37"/>
        <v>Number of individuals with MHOther mental health diagnosis with at least one psychotropic medication order</v>
      </c>
      <c r="C207" t="s">
        <v>61</v>
      </c>
      <c r="E207" t="s">
        <v>465</v>
      </c>
      <c r="F207" t="str">
        <f>IF(F$5,COUNTIFS(Residents!$G:$G,$A207,Residents!$ID:$ID,1,Residents!$V:$V,1,Residents!$IH:$IH,1),"")</f>
        <v/>
      </c>
      <c r="G207" t="str">
        <f>IF(G$5,COUNTIFS(Residents!$G:$G,$A207,Residents!$ID:$ID,1,Residents!$V:$V,1,Residents!$IH:$IH,1),"")</f>
        <v/>
      </c>
      <c r="H207" t="str">
        <f>IF(H$5,COUNTIFS(Residents!$G:$G,$A207,Residents!$ID:$ID,1,Residents!$V:$V,1,Residents!$IH:$IH,1),"")</f>
        <v/>
      </c>
      <c r="I207" t="str">
        <f>IF(I$5,COUNTIFS(Residents!$G:$G,$A207,Residents!$ID:$ID,1,Residents!$V:$V,1,Residents!$IH:$IH,1),"")</f>
        <v/>
      </c>
      <c r="J207" t="str">
        <f>IF(J$5,COUNTIFS(Residents!$G:$G,$A207,Residents!$ID:$ID,1,Residents!$V:$V,1,Residents!$IH:$IH,1),"")</f>
        <v/>
      </c>
      <c r="K207" t="str">
        <f>IF(K$5,COUNTIFS(Residents!$G:$G,$A207,Residents!$ID:$ID,1,Residents!$V:$V,1,Residents!$IH:$IH,1),"")</f>
        <v/>
      </c>
      <c r="L207" t="str">
        <f>IF(L$5,COUNTIFS(Residents!$G:$G,$A207,Residents!$ID:$ID,1,Residents!$V:$V,1,Residents!$IH:$IH,1),"")</f>
        <v/>
      </c>
      <c r="M207" t="str">
        <f>IF(M$5,COUNTIFS(Residents!$G:$G,$A207,Residents!$ID:$ID,1,Residents!$V:$V,1,Residents!$IH:$IH,1),"")</f>
        <v/>
      </c>
      <c r="N207" t="str">
        <f>IF(N$5,COUNTIFS(Residents!$G:$G,$A207,Residents!$ID:$ID,1,Residents!$V:$V,1,Residents!$IH:$IH,1),"")</f>
        <v/>
      </c>
      <c r="O207" t="str">
        <f>IF(O$5,COUNTIFS(Residents!$G:$G,$A207,Residents!$ID:$ID,1,Residents!$V:$V,1,Residents!$IH:$IH,1),"")</f>
        <v/>
      </c>
      <c r="P207" t="str">
        <f>IF(P$5,COUNTIFS(Residents!$G:$G,$A207,Residents!$ID:$ID,1,Residents!$V:$V,1,Residents!$IH:$IH,1),"")</f>
        <v/>
      </c>
      <c r="Q207" t="str">
        <f>IF(Q$5,COUNTIFS(Residents!$G:$G,$A207,Residents!$ID:$ID,1,Residents!$V:$V,1,Residents!$IH:$IH,1),"")</f>
        <v/>
      </c>
      <c r="R207" t="str">
        <f>IF(R$5,COUNTIFS(Residents!$G:$G,$A207,Residents!$ID:$ID,1,Residents!$V:$V,1,Residents!$IH:$IH,1),"")</f>
        <v/>
      </c>
    </row>
    <row r="208" spans="1:18" ht="15">
      <c r="A208" t="s">
        <v>41</v>
      </c>
      <c r="B208" t="s">
        <v>879</v>
      </c>
      <c r="E208" t="s">
        <v>883</v>
      </c>
      <c r="F208" t="str">
        <f>IF(F$5,COUNTIFS(GDR!$H:$H,$A208,GDR!$K:$K,1),"")</f>
        <v/>
      </c>
      <c r="G208" t="str">
        <f>IF(G$5,COUNTIFS(GDR!$H:$H,$A208,GDR!$K:$K,1),"")</f>
        <v/>
      </c>
      <c r="H208" t="str">
        <f>IF(H$5,COUNTIFS(GDR!$H:$H,$A208,GDR!$K:$K,1),"")</f>
        <v/>
      </c>
      <c r="I208" t="str">
        <f>IF(I$5,COUNTIFS(GDR!$H:$H,$A208,GDR!$K:$K,1),"")</f>
        <v/>
      </c>
      <c r="J208" t="str">
        <f>IF(J$5,COUNTIFS(GDR!$H:$H,$A208,GDR!$K:$K,1),"")</f>
        <v/>
      </c>
      <c r="K208" t="str">
        <f>IF(K$5,COUNTIFS(GDR!$H:$H,$A208,GDR!$K:$K,1),"")</f>
        <v/>
      </c>
      <c r="L208" t="str">
        <f>IF(L$5,COUNTIFS(GDR!$H:$H,$A208,GDR!$K:$K,1),"")</f>
        <v/>
      </c>
      <c r="M208" t="str">
        <f>IF(M$5,COUNTIFS(GDR!$H:$H,$A208,GDR!$K:$K,1),"")</f>
        <v/>
      </c>
      <c r="N208" t="str">
        <f>IF(N$5,COUNTIFS(GDR!$H:$H,$A208,GDR!$K:$K,1),"")</f>
        <v/>
      </c>
      <c r="O208" t="str">
        <f>IF(O$5,COUNTIFS(GDR!$H:$H,$A208,GDR!$K:$K,1),"")</f>
        <v/>
      </c>
      <c r="P208" t="str">
        <f>IF(P$5,COUNTIFS(GDR!$H:$H,$A208,GDR!$K:$K,1),"")</f>
        <v/>
      </c>
      <c r="Q208" t="str">
        <f>IF(Q$5,COUNTIFS(GDR!$H:$H,$A208,GDR!$K:$K,1),"")</f>
        <v/>
      </c>
      <c r="R208" t="str">
        <f>IF(R$5,COUNTIFS(GDR!$H:$H,$A208,GDR!$K:$K,1),"")</f>
        <v/>
      </c>
    </row>
    <row r="209" spans="1:18" ht="15">
      <c r="A209" t="s">
        <v>41</v>
      </c>
      <c r="B209" t="s">
        <v>880</v>
      </c>
      <c r="E209" t="s">
        <v>882</v>
      </c>
      <c r="F209" t="str">
        <f>IF(F$5,COUNTIFS(GDR!$H:$H,$A209,GDR!$I:$I,1),"")</f>
        <v/>
      </c>
      <c r="G209" t="str">
        <f>IF(G$5,COUNTIFS(GDR!$H:$H,$A209,GDR!$I:$I,1),"")</f>
        <v/>
      </c>
      <c r="H209" t="str">
        <f>IF(H$5,COUNTIFS(GDR!$H:$H,$A209,GDR!$I:$I,1),"")</f>
        <v/>
      </c>
      <c r="I209" t="str">
        <f>IF(I$5,COUNTIFS(GDR!$H:$H,$A209,GDR!$I:$I,1),"")</f>
        <v/>
      </c>
      <c r="J209" t="str">
        <f>IF(J$5,COUNTIFS(GDR!$H:$H,$A209,GDR!$I:$I,1),"")</f>
        <v/>
      </c>
      <c r="K209" t="str">
        <f>IF(K$5,COUNTIFS(GDR!$H:$H,$A209,GDR!$I:$I,1),"")</f>
        <v/>
      </c>
      <c r="L209" t="str">
        <f>IF(L$5,COUNTIFS(GDR!$H:$H,$A209,GDR!$I:$I,1),"")</f>
        <v/>
      </c>
      <c r="M209" t="str">
        <f>IF(M$5,COUNTIFS(GDR!$H:$H,$A209,GDR!$I:$I,1),"")</f>
        <v/>
      </c>
      <c r="N209" t="str">
        <f>IF(N$5,COUNTIFS(GDR!$H:$H,$A209,GDR!$I:$I,1),"")</f>
        <v/>
      </c>
      <c r="O209" t="str">
        <f>IF(O$5,COUNTIFS(GDR!$H:$H,$A209,GDR!$I:$I,1),"")</f>
        <v/>
      </c>
      <c r="P209" t="str">
        <f>IF(P$5,COUNTIFS(GDR!$H:$H,$A209,GDR!$I:$I,1),"")</f>
        <v/>
      </c>
      <c r="Q209" t="str">
        <f>IF(Q$5,COUNTIFS(GDR!$H:$H,$A209,GDR!$I:$I,1),"")</f>
        <v/>
      </c>
      <c r="R209" t="str">
        <f>IF(R$5,COUNTIFS(GDR!$H:$H,$A209,GDR!$I:$I,1),"")</f>
        <v/>
      </c>
    </row>
    <row r="210" spans="1:18" ht="15">
      <c r="A210" t="s">
        <v>41</v>
      </c>
      <c r="B210" t="str">
        <f>"Number of GDRs completed this month with "&amp;C210</f>
        <v>Number of GDRs completed this month with No change in dose</v>
      </c>
      <c r="C210" t="s">
        <v>222</v>
      </c>
      <c r="E210" t="s">
        <v>881</v>
      </c>
      <c r="F210" t="str">
        <f>IF(F$5,COUNTIFS(GDR!$H:$H,$A210,GDR!$J:$J,1,GDR!$F:$F,$C210),"")</f>
        <v/>
      </c>
      <c r="G210" t="str">
        <f>IF(G$5,COUNTIFS(GDR!$H:$H,$A210,GDR!$J:$J,1,GDR!$F:$F,$C210),"")</f>
        <v/>
      </c>
      <c r="H210" t="str">
        <f>IF(H$5,COUNTIFS(GDR!$H:$H,$A210,GDR!$J:$J,1,GDR!$F:$F,$C210),"")</f>
        <v/>
      </c>
      <c r="I210" t="str">
        <f>IF(I$5,COUNTIFS(GDR!$H:$H,$A210,GDR!$J:$J,1,GDR!$F:$F,$C210),"")</f>
        <v/>
      </c>
      <c r="J210" t="str">
        <f>IF(J$5,COUNTIFS(GDR!$H:$H,$A210,GDR!$J:$J,1,GDR!$F:$F,$C210),"")</f>
        <v/>
      </c>
      <c r="K210" t="str">
        <f>IF(K$5,COUNTIFS(GDR!$H:$H,$A210,GDR!$J:$J,1,GDR!$F:$F,$C210),"")</f>
        <v/>
      </c>
      <c r="L210" t="str">
        <f>IF(L$5,COUNTIFS(GDR!$H:$H,$A210,GDR!$J:$J,1,GDR!$F:$F,$C210),"")</f>
        <v/>
      </c>
      <c r="M210" t="str">
        <f>IF(M$5,COUNTIFS(GDR!$H:$H,$A210,GDR!$J:$J,1,GDR!$F:$F,$C210),"")</f>
        <v/>
      </c>
      <c r="N210" t="str">
        <f>IF(N$5,COUNTIFS(GDR!$H:$H,$A210,GDR!$J:$J,1,GDR!$F:$F,$C210),"")</f>
        <v/>
      </c>
      <c r="O210" t="str">
        <f>IF(O$5,COUNTIFS(GDR!$H:$H,$A210,GDR!$J:$J,1,GDR!$F:$F,$C210),"")</f>
        <v/>
      </c>
      <c r="P210" t="str">
        <f>IF(P$5,COUNTIFS(GDR!$H:$H,$A210,GDR!$J:$J,1,GDR!$F:$F,$C210),"")</f>
        <v/>
      </c>
      <c r="Q210" t="str">
        <f>IF(Q$5,COUNTIFS(GDR!$H:$H,$A210,GDR!$J:$J,1,GDR!$F:$F,$C210),"")</f>
        <v/>
      </c>
      <c r="R210" t="str">
        <f>IF(R$5,COUNTIFS(GDR!$H:$H,$A210,GDR!$J:$J,1,GDR!$F:$F,$C210),"")</f>
        <v/>
      </c>
    </row>
    <row r="211" spans="1:18" ht="15">
      <c r="A211" t="s">
        <v>41</v>
      </c>
      <c r="B211" t="str">
        <f>"Number of GDRs completed this month with "&amp;C211</f>
        <v>Number of GDRs completed this month with Dose reduced</v>
      </c>
      <c r="C211" t="s">
        <v>223</v>
      </c>
      <c r="E211" t="s">
        <v>881</v>
      </c>
      <c r="F211" t="str">
        <f>IF(F$5,COUNTIFS(GDR!$H:$H,$A211,GDR!$J:$J,1,GDR!$F:$F,$C211),"")</f>
        <v/>
      </c>
      <c r="G211" t="str">
        <f>IF(G$5,COUNTIFS(GDR!$H:$H,$A211,GDR!$J:$J,1,GDR!$F:$F,$C211),"")</f>
        <v/>
      </c>
      <c r="H211" t="str">
        <f>IF(H$5,COUNTIFS(GDR!$H:$H,$A211,GDR!$J:$J,1,GDR!$F:$F,$C211),"")</f>
        <v/>
      </c>
      <c r="I211" t="str">
        <f>IF(I$5,COUNTIFS(GDR!$H:$H,$A211,GDR!$J:$J,1,GDR!$F:$F,$C211),"")</f>
        <v/>
      </c>
      <c r="J211" t="str">
        <f>IF(J$5,COUNTIFS(GDR!$H:$H,$A211,GDR!$J:$J,1,GDR!$F:$F,$C211),"")</f>
        <v/>
      </c>
      <c r="K211" t="str">
        <f>IF(K$5,COUNTIFS(GDR!$H:$H,$A211,GDR!$J:$J,1,GDR!$F:$F,$C211),"")</f>
        <v/>
      </c>
      <c r="L211" t="str">
        <f>IF(L$5,COUNTIFS(GDR!$H:$H,$A211,GDR!$J:$J,1,GDR!$F:$F,$C211),"")</f>
        <v/>
      </c>
      <c r="M211" t="str">
        <f>IF(M$5,COUNTIFS(GDR!$H:$H,$A211,GDR!$J:$J,1,GDR!$F:$F,$C211),"")</f>
        <v/>
      </c>
      <c r="N211" t="str">
        <f>IF(N$5,COUNTIFS(GDR!$H:$H,$A211,GDR!$J:$J,1,GDR!$F:$F,$C211),"")</f>
        <v/>
      </c>
      <c r="O211" t="str">
        <f>IF(O$5,COUNTIFS(GDR!$H:$H,$A211,GDR!$J:$J,1,GDR!$F:$F,$C211),"")</f>
        <v/>
      </c>
      <c r="P211" t="str">
        <f>IF(P$5,COUNTIFS(GDR!$H:$H,$A211,GDR!$J:$J,1,GDR!$F:$F,$C211),"")</f>
        <v/>
      </c>
      <c r="Q211" t="str">
        <f>IF(Q$5,COUNTIFS(GDR!$H:$H,$A211,GDR!$J:$J,1,GDR!$F:$F,$C211),"")</f>
        <v/>
      </c>
      <c r="R211" t="str">
        <f>IF(R$5,COUNTIFS(GDR!$H:$H,$A211,GDR!$J:$J,1,GDR!$F:$F,$C211),"")</f>
        <v/>
      </c>
    </row>
    <row r="212" spans="1:18" ht="15">
      <c r="A212" t="s">
        <v>41</v>
      </c>
      <c r="B212" t="str">
        <f>"Number of GDRs completed this month with "&amp;C212</f>
        <v>Number of GDRs completed this month with Dose increased</v>
      </c>
      <c r="C212" t="s">
        <v>224</v>
      </c>
      <c r="E212" t="s">
        <v>881</v>
      </c>
      <c r="F212" t="str">
        <f>IF(F$5,COUNTIFS(GDR!$H:$H,$A212,GDR!$J:$J,1,GDR!$F:$F,$C212),"")</f>
        <v/>
      </c>
      <c r="G212" t="str">
        <f>IF(G$5,COUNTIFS(GDR!$H:$H,$A212,GDR!$J:$J,1,GDR!$F:$F,$C212),"")</f>
        <v/>
      </c>
      <c r="H212" t="str">
        <f>IF(H$5,COUNTIFS(GDR!$H:$H,$A212,GDR!$J:$J,1,GDR!$F:$F,$C212),"")</f>
        <v/>
      </c>
      <c r="I212" t="str">
        <f>IF(I$5,COUNTIFS(GDR!$H:$H,$A212,GDR!$J:$J,1,GDR!$F:$F,$C212),"")</f>
        <v/>
      </c>
      <c r="J212" t="str">
        <f>IF(J$5,COUNTIFS(GDR!$H:$H,$A212,GDR!$J:$J,1,GDR!$F:$F,$C212),"")</f>
        <v/>
      </c>
      <c r="K212" t="str">
        <f>IF(K$5,COUNTIFS(GDR!$H:$H,$A212,GDR!$J:$J,1,GDR!$F:$F,$C212),"")</f>
        <v/>
      </c>
      <c r="L212" t="str">
        <f>IF(L$5,COUNTIFS(GDR!$H:$H,$A212,GDR!$J:$J,1,GDR!$F:$F,$C212),"")</f>
        <v/>
      </c>
      <c r="M212" t="str">
        <f>IF(M$5,COUNTIFS(GDR!$H:$H,$A212,GDR!$J:$J,1,GDR!$F:$F,$C212),"")</f>
        <v/>
      </c>
      <c r="N212" t="str">
        <f>IF(N$5,COUNTIFS(GDR!$H:$H,$A212,GDR!$J:$J,1,GDR!$F:$F,$C212),"")</f>
        <v/>
      </c>
      <c r="O212" t="str">
        <f>IF(O$5,COUNTIFS(GDR!$H:$H,$A212,GDR!$J:$J,1,GDR!$F:$F,$C212),"")</f>
        <v/>
      </c>
      <c r="P212" t="str">
        <f>IF(P$5,COUNTIFS(GDR!$H:$H,$A212,GDR!$J:$J,1,GDR!$F:$F,$C212),"")</f>
        <v/>
      </c>
      <c r="Q212" t="str">
        <f>IF(Q$5,COUNTIFS(GDR!$H:$H,$A212,GDR!$J:$J,1,GDR!$F:$F,$C212),"")</f>
        <v/>
      </c>
      <c r="R212" t="str">
        <f>IF(R$5,COUNTIFS(GDR!$H:$H,$A212,GDR!$J:$J,1,GDR!$F:$F,$C212),"")</f>
        <v/>
      </c>
    </row>
    <row r="213" spans="1:18" ht="15">
      <c r="A213" t="s">
        <v>41</v>
      </c>
      <c r="B213" t="str">
        <f>"Number of GDRs completed this month with "&amp;C213</f>
        <v>Number of GDRs completed this month with Medication d/c, other medication added</v>
      </c>
      <c r="C213" t="s">
        <v>225</v>
      </c>
      <c r="E213" t="s">
        <v>881</v>
      </c>
      <c r="F213" t="str">
        <f>IF(F$5,COUNTIFS(GDR!$H:$H,$A213,GDR!$J:$J,1,GDR!$F:$F,$C213),"")</f>
        <v/>
      </c>
      <c r="G213" t="str">
        <f>IF(G$5,COUNTIFS(GDR!$H:$H,$A213,GDR!$J:$J,1,GDR!$F:$F,$C213),"")</f>
        <v/>
      </c>
      <c r="H213" t="str">
        <f>IF(H$5,COUNTIFS(GDR!$H:$H,$A213,GDR!$J:$J,1,GDR!$F:$F,$C213),"")</f>
        <v/>
      </c>
      <c r="I213" t="str">
        <f>IF(I$5,COUNTIFS(GDR!$H:$H,$A213,GDR!$J:$J,1,GDR!$F:$F,$C213),"")</f>
        <v/>
      </c>
      <c r="J213" t="str">
        <f>IF(J$5,COUNTIFS(GDR!$H:$H,$A213,GDR!$J:$J,1,GDR!$F:$F,$C213),"")</f>
        <v/>
      </c>
      <c r="K213" t="str">
        <f>IF(K$5,COUNTIFS(GDR!$H:$H,$A213,GDR!$J:$J,1,GDR!$F:$F,$C213),"")</f>
        <v/>
      </c>
      <c r="L213" t="str">
        <f>IF(L$5,COUNTIFS(GDR!$H:$H,$A213,GDR!$J:$J,1,GDR!$F:$F,$C213),"")</f>
        <v/>
      </c>
      <c r="M213" t="str">
        <f>IF(M$5,COUNTIFS(GDR!$H:$H,$A213,GDR!$J:$J,1,GDR!$F:$F,$C213),"")</f>
        <v/>
      </c>
      <c r="N213" t="str">
        <f>IF(N$5,COUNTIFS(GDR!$H:$H,$A213,GDR!$J:$J,1,GDR!$F:$F,$C213),"")</f>
        <v/>
      </c>
      <c r="O213" t="str">
        <f>IF(O$5,COUNTIFS(GDR!$H:$H,$A213,GDR!$J:$J,1,GDR!$F:$F,$C213),"")</f>
        <v/>
      </c>
      <c r="P213" t="str">
        <f>IF(P$5,COUNTIFS(GDR!$H:$H,$A213,GDR!$J:$J,1,GDR!$F:$F,$C213),"")</f>
        <v/>
      </c>
      <c r="Q213" t="str">
        <f>IF(Q$5,COUNTIFS(GDR!$H:$H,$A213,GDR!$J:$J,1,GDR!$F:$F,$C213),"")</f>
        <v/>
      </c>
      <c r="R213" t="str">
        <f>IF(R$5,COUNTIFS(GDR!$H:$H,$A213,GDR!$J:$J,1,GDR!$F:$F,$C213),"")</f>
        <v/>
      </c>
    </row>
    <row r="214" spans="1:18" ht="15">
      <c r="A214" t="s">
        <v>41</v>
      </c>
      <c r="B214" t="str">
        <f>"Number of GDRs completed this month with "&amp;C214</f>
        <v>Number of GDRs completed this month with Medication d/c, no added medications</v>
      </c>
      <c r="C214" t="s">
        <v>226</v>
      </c>
      <c r="E214" t="s">
        <v>881</v>
      </c>
      <c r="F214" t="str">
        <f>IF(F$5,COUNTIFS(GDR!$H:$H,$A214,GDR!$J:$J,1,GDR!$F:$F,$C214),"")</f>
        <v/>
      </c>
      <c r="G214" t="str">
        <f>IF(G$5,COUNTIFS(GDR!$H:$H,$A214,GDR!$J:$J,1,GDR!$F:$F,$C214),"")</f>
        <v/>
      </c>
      <c r="H214" t="str">
        <f>IF(H$5,COUNTIFS(GDR!$H:$H,$A214,GDR!$J:$J,1,GDR!$F:$F,$C214),"")</f>
        <v/>
      </c>
      <c r="I214" t="str">
        <f>IF(I$5,COUNTIFS(GDR!$H:$H,$A214,GDR!$J:$J,1,GDR!$F:$F,$C214),"")</f>
        <v/>
      </c>
      <c r="J214" t="str">
        <f>IF(J$5,COUNTIFS(GDR!$H:$H,$A214,GDR!$J:$J,1,GDR!$F:$F,$C214),"")</f>
        <v/>
      </c>
      <c r="K214" t="str">
        <f>IF(K$5,COUNTIFS(GDR!$H:$H,$A214,GDR!$J:$J,1,GDR!$F:$F,$C214),"")</f>
        <v/>
      </c>
      <c r="L214" t="str">
        <f>IF(L$5,COUNTIFS(GDR!$H:$H,$A214,GDR!$J:$J,1,GDR!$F:$F,$C214),"")</f>
        <v/>
      </c>
      <c r="M214" t="str">
        <f>IF(M$5,COUNTIFS(GDR!$H:$H,$A214,GDR!$J:$J,1,GDR!$F:$F,$C214),"")</f>
        <v/>
      </c>
      <c r="N214" t="str">
        <f>IF(N$5,COUNTIFS(GDR!$H:$H,$A214,GDR!$J:$J,1,GDR!$F:$F,$C214),"")</f>
        <v/>
      </c>
      <c r="O214" t="str">
        <f>IF(O$5,COUNTIFS(GDR!$H:$H,$A214,GDR!$J:$J,1,GDR!$F:$F,$C214),"")</f>
        <v/>
      </c>
      <c r="P214" t="str">
        <f>IF(P$5,COUNTIFS(GDR!$H:$H,$A214,GDR!$J:$J,1,GDR!$F:$F,$C214),"")</f>
        <v/>
      </c>
      <c r="Q214" t="str">
        <f>IF(Q$5,COUNTIFS(GDR!$H:$H,$A214,GDR!$J:$J,1,GDR!$F:$F,$C214),"")</f>
        <v/>
      </c>
      <c r="R214" t="str">
        <f>IF(R$5,COUNTIFS(GDR!$H:$H,$A214,GDR!$J:$J,1,GDR!$F:$F,$C214),"")</f>
        <v/>
      </c>
    </row>
    <row r="215" spans="1:18" ht="15">
      <c r="A215" t="s">
        <v>41</v>
      </c>
      <c r="B215" t="s">
        <v>888</v>
      </c>
      <c r="E215" t="s">
        <v>881</v>
      </c>
      <c r="F215" t="str">
        <f>IF(F$5,COUNTIFS(GDR!$H:$H,$A215,GDR!$L:$L,1),"")</f>
        <v/>
      </c>
      <c r="G215" t="str">
        <f>IF(G$5,COUNTIFS(GDR!$H:$H,$A215,GDR!$L:$L,1),"")</f>
        <v/>
      </c>
      <c r="H215" t="str">
        <f>IF(H$5,COUNTIFS(GDR!$H:$H,$A215,GDR!$L:$L,1),"")</f>
        <v/>
      </c>
      <c r="I215" t="str">
        <f>IF(I$5,COUNTIFS(GDR!$H:$H,$A215,GDR!$L:$L,1),"")</f>
        <v/>
      </c>
      <c r="J215" t="str">
        <f>IF(J$5,COUNTIFS(GDR!$H:$H,$A215,GDR!$L:$L,1),"")</f>
        <v/>
      </c>
      <c r="K215" t="str">
        <f>IF(K$5,COUNTIFS(GDR!$H:$H,$A215,GDR!$L:$L,1),"")</f>
        <v/>
      </c>
      <c r="L215" t="str">
        <f>IF(L$5,COUNTIFS(GDR!$H:$H,$A215,GDR!$L:$L,1),"")</f>
        <v/>
      </c>
      <c r="M215" t="str">
        <f>IF(M$5,COUNTIFS(GDR!$H:$H,$A215,GDR!$L:$L,1),"")</f>
        <v/>
      </c>
      <c r="N215" t="str">
        <f>IF(N$5,COUNTIFS(GDR!$H:$H,$A215,GDR!$L:$L,1),"")</f>
        <v/>
      </c>
      <c r="O215" t="str">
        <f>IF(O$5,COUNTIFS(GDR!$H:$H,$A215,GDR!$L:$L,1),"")</f>
        <v/>
      </c>
      <c r="P215" t="str">
        <f>IF(P$5,COUNTIFS(GDR!$H:$H,$A215,GDR!$L:$L,1),"")</f>
        <v/>
      </c>
      <c r="Q215" t="str">
        <f>IF(Q$5,COUNTIFS(GDR!$H:$H,$A215,GDR!$L:$L,1),"")</f>
        <v/>
      </c>
      <c r="R215" t="str">
        <f>IF(R$5,COUNTIFS(GDR!$H:$H,$A215,GDR!$L:$L,1),"")</f>
        <v/>
      </c>
    </row>
    <row r="216" spans="1:18" ht="15">
      <c r="A216" t="s">
        <v>41</v>
      </c>
      <c r="B216" t="s">
        <v>889</v>
      </c>
      <c r="E216" t="s">
        <v>881</v>
      </c>
      <c r="F216" t="str">
        <f>IF(F$5,COUNTIFS(GDR!$H:$H,$A216,GDR!$L:$L,1,GDR!$G:$G,"&lt;&gt;"&amp;""),"")</f>
        <v/>
      </c>
      <c r="G216" t="str">
        <f>IF(G$5,COUNTIFS(GDR!$H:$H,$A216,GDR!$L:$L,1,GDR!$G:$G,"&lt;&gt;"&amp;""),"")</f>
        <v/>
      </c>
      <c r="H216" t="str">
        <f>IF(H$5,COUNTIFS(GDR!$H:$H,$A216,GDR!$L:$L,1,GDR!$G:$G,"&lt;&gt;"&amp;""),"")</f>
        <v/>
      </c>
      <c r="I216" t="str">
        <f>IF(I$5,COUNTIFS(GDR!$H:$H,$A216,GDR!$L:$L,1,GDR!$G:$G,"&lt;&gt;"&amp;""),"")</f>
        <v/>
      </c>
      <c r="J216" t="str">
        <f>IF(J$5,COUNTIFS(GDR!$H:$H,$A216,GDR!$L:$L,1,GDR!$G:$G,"&lt;&gt;"&amp;""),"")</f>
        <v/>
      </c>
      <c r="K216" t="str">
        <f>IF(K$5,COUNTIFS(GDR!$H:$H,$A216,GDR!$L:$L,1,GDR!$G:$G,"&lt;&gt;"&amp;""),"")</f>
        <v/>
      </c>
      <c r="L216" t="str">
        <f>IF(L$5,COUNTIFS(GDR!$H:$H,$A216,GDR!$L:$L,1,GDR!$G:$G,"&lt;&gt;"&amp;""),"")</f>
        <v/>
      </c>
      <c r="M216" t="str">
        <f>IF(M$5,COUNTIFS(GDR!$H:$H,$A216,GDR!$L:$L,1,GDR!$G:$G,"&lt;&gt;"&amp;""),"")</f>
        <v/>
      </c>
      <c r="N216" t="str">
        <f>IF(N$5,COUNTIFS(GDR!$H:$H,$A216,GDR!$L:$L,1,GDR!$G:$G,"&lt;&gt;"&amp;""),"")</f>
        <v/>
      </c>
      <c r="O216" t="str">
        <f>IF(O$5,COUNTIFS(GDR!$H:$H,$A216,GDR!$L:$L,1,GDR!$G:$G,"&lt;&gt;"&amp;""),"")</f>
        <v/>
      </c>
      <c r="P216" t="str">
        <f>IF(P$5,COUNTIFS(GDR!$H:$H,$A216,GDR!$L:$L,1,GDR!$G:$G,"&lt;&gt;"&amp;""),"")</f>
        <v/>
      </c>
      <c r="Q216" t="str">
        <f>IF(Q$5,COUNTIFS(GDR!$H:$H,$A216,GDR!$L:$L,1,GDR!$G:$G,"&lt;&gt;"&amp;""),"")</f>
        <v/>
      </c>
      <c r="R216" t="str">
        <f>IF(R$5,COUNTIFS(GDR!$H:$H,$A216,GDR!$L:$L,1,GDR!$G:$G,"&lt;&gt;"&amp;""),"")</f>
        <v/>
      </c>
    </row>
    <row r="217" spans="1:18" ht="15">
      <c r="A217" t="s">
        <v>41</v>
      </c>
      <c r="B217" t="s">
        <v>890</v>
      </c>
      <c r="E217" t="s">
        <v>881</v>
      </c>
      <c r="F217" t="str">
        <f>IF(F$5,COUNTIFS(GDR!$H:$H,$A217,GDR!$L:$L,1,GDR!$G:$G,""),"")</f>
        <v/>
      </c>
      <c r="G217" t="str">
        <f>IF(G$5,COUNTIFS(GDR!$H:$H,$A217,GDR!$L:$L,1,GDR!$G:$G,""),"")</f>
        <v/>
      </c>
      <c r="H217" t="str">
        <f>IF(H$5,COUNTIFS(GDR!$H:$H,$A217,GDR!$L:$L,1,GDR!$G:$G,""),"")</f>
        <v/>
      </c>
      <c r="I217" t="str">
        <f>IF(I$5,COUNTIFS(GDR!$H:$H,$A217,GDR!$L:$L,1,GDR!$G:$G,""),"")</f>
        <v/>
      </c>
      <c r="J217" t="str">
        <f>IF(J$5,COUNTIFS(GDR!$H:$H,$A217,GDR!$L:$L,1,GDR!$G:$G,""),"")</f>
        <v/>
      </c>
      <c r="K217" t="str">
        <f>IF(K$5,COUNTIFS(GDR!$H:$H,$A217,GDR!$L:$L,1,GDR!$G:$G,""),"")</f>
        <v/>
      </c>
      <c r="L217" t="str">
        <f>IF(L$5,COUNTIFS(GDR!$H:$H,$A217,GDR!$L:$L,1,GDR!$G:$G,""),"")</f>
        <v/>
      </c>
      <c r="M217" t="str">
        <f>IF(M$5,COUNTIFS(GDR!$H:$H,$A217,GDR!$L:$L,1,GDR!$G:$G,""),"")</f>
        <v/>
      </c>
      <c r="N217" t="str">
        <f>IF(N$5,COUNTIFS(GDR!$H:$H,$A217,GDR!$L:$L,1,GDR!$G:$G,""),"")</f>
        <v/>
      </c>
      <c r="O217" t="str">
        <f>IF(O$5,COUNTIFS(GDR!$H:$H,$A217,GDR!$L:$L,1,GDR!$G:$G,""),"")</f>
        <v/>
      </c>
      <c r="P217" t="str">
        <f>IF(P$5,COUNTIFS(GDR!$H:$H,$A217,GDR!$L:$L,1,GDR!$G:$G,""),"")</f>
        <v/>
      </c>
      <c r="Q217" t="str">
        <f>IF(Q$5,COUNTIFS(GDR!$H:$H,$A217,GDR!$L:$L,1,GDR!$G:$G,""),"")</f>
        <v/>
      </c>
      <c r="R217" t="str">
        <f>IF(R$5,COUNTIFS(GDR!$H:$H,$A217,GDR!$L:$L,1,GDR!$G:$G,""),"")</f>
        <v/>
      </c>
    </row>
    <row r="218" spans="1:18" ht="15">
      <c r="A218" t="s">
        <v>40</v>
      </c>
      <c r="B218" t="str">
        <f>"Number of individuals for whom "&amp;C218&amp;" pleasant moments/meaningful activities have been recorded"</f>
        <v>Number of individuals for whom 0 pleasant moments/meaningful activities have been recorded</v>
      </c>
      <c r="C218">
        <v>0</v>
      </c>
      <c r="E218" t="s">
        <v>465</v>
      </c>
      <c r="F218" t="str">
        <f>IF(F$5,COUNTIFS(Residents!$G:$G,$A218,Residents!$ID:$ID,1,Residents!$IL:$IL,$C218),"")</f>
        <v/>
      </c>
      <c r="G218" t="str">
        <f>IF(G$5,COUNTIFS(Residents!$G:$G,$A218,Residents!$ID:$ID,1,Residents!$IL:$IL,$C218),"")</f>
        <v/>
      </c>
      <c r="H218" t="str">
        <f>IF(H$5,COUNTIFS(Residents!$G:$G,$A218,Residents!$ID:$ID,1,Residents!$IL:$IL,$C218),"")</f>
        <v/>
      </c>
      <c r="I218" t="str">
        <f>IF(I$5,COUNTIFS(Residents!$G:$G,$A218,Residents!$ID:$ID,1,Residents!$IL:$IL,$C218),"")</f>
        <v/>
      </c>
      <c r="J218" t="str">
        <f>IF(J$5,COUNTIFS(Residents!$G:$G,$A218,Residents!$ID:$ID,1,Residents!$IL:$IL,$C218),"")</f>
        <v/>
      </c>
      <c r="K218" t="str">
        <f>IF(K$5,COUNTIFS(Residents!$G:$G,$A218,Residents!$ID:$ID,1,Residents!$IL:$IL,$C218),"")</f>
        <v/>
      </c>
      <c r="L218" t="str">
        <f>IF(L$5,COUNTIFS(Residents!$G:$G,$A218,Residents!$ID:$ID,1,Residents!$IL:$IL,$C218),"")</f>
        <v/>
      </c>
      <c r="M218" t="str">
        <f>IF(M$5,COUNTIFS(Residents!$G:$G,$A218,Residents!$ID:$ID,1,Residents!$IL:$IL,$C218),"")</f>
        <v/>
      </c>
      <c r="N218" t="str">
        <f>IF(N$5,COUNTIFS(Residents!$G:$G,$A218,Residents!$ID:$ID,1,Residents!$IL:$IL,$C218),"")</f>
        <v/>
      </c>
      <c r="O218" t="str">
        <f>IF(O$5,COUNTIFS(Residents!$G:$G,$A218,Residents!$ID:$ID,1,Residents!$IL:$IL,$C218),"")</f>
        <v/>
      </c>
      <c r="P218" t="str">
        <f>IF(P$5,COUNTIFS(Residents!$G:$G,$A218,Residents!$ID:$ID,1,Residents!$IL:$IL,$C218),"")</f>
        <v/>
      </c>
      <c r="Q218" t="str">
        <f>IF(Q$5,COUNTIFS(Residents!$G:$G,$A218,Residents!$ID:$ID,1,Residents!$IL:$IL,$C218),"")</f>
        <v/>
      </c>
      <c r="R218" t="str">
        <f>IF(R$5,COUNTIFS(Residents!$G:$G,$A218,Residents!$ID:$ID,1,Residents!$IL:$IL,$C218),"")</f>
        <v/>
      </c>
    </row>
    <row r="219" spans="1:18" ht="15">
      <c r="A219" t="s">
        <v>40</v>
      </c>
      <c r="B219" t="str">
        <f aca="true" t="shared" si="38" ref="B219:B230">"Number of individuals for whom "&amp;C219&amp;" pleasant moments/meaningful activities have been recorded"</f>
        <v>Number of individuals for whom 1 pleasant moments/meaningful activities have been recorded</v>
      </c>
      <c r="C219">
        <f>1+C218</f>
        <v>1</v>
      </c>
      <c r="E219" t="s">
        <v>465</v>
      </c>
      <c r="F219" t="str">
        <f>IF(F$5,COUNTIFS(Residents!$G:$G,$A219,Residents!$ID:$ID,1,Residents!$IL:$IL,$C219),"")</f>
        <v/>
      </c>
      <c r="G219" t="str">
        <f>IF(G$5,COUNTIFS(Residents!$G:$G,$A219,Residents!$ID:$ID,1,Residents!$IL:$IL,$C219),"")</f>
        <v/>
      </c>
      <c r="H219" t="str">
        <f>IF(H$5,COUNTIFS(Residents!$G:$G,$A219,Residents!$ID:$ID,1,Residents!$IL:$IL,$C219),"")</f>
        <v/>
      </c>
      <c r="I219" t="str">
        <f>IF(I$5,COUNTIFS(Residents!$G:$G,$A219,Residents!$ID:$ID,1,Residents!$IL:$IL,$C219),"")</f>
        <v/>
      </c>
      <c r="J219" t="str">
        <f>IF(J$5,COUNTIFS(Residents!$G:$G,$A219,Residents!$ID:$ID,1,Residents!$IL:$IL,$C219),"")</f>
        <v/>
      </c>
      <c r="K219" t="str">
        <f>IF(K$5,COUNTIFS(Residents!$G:$G,$A219,Residents!$ID:$ID,1,Residents!$IL:$IL,$C219),"")</f>
        <v/>
      </c>
      <c r="L219" t="str">
        <f>IF(L$5,COUNTIFS(Residents!$G:$G,$A219,Residents!$ID:$ID,1,Residents!$IL:$IL,$C219),"")</f>
        <v/>
      </c>
      <c r="M219" t="str">
        <f>IF(M$5,COUNTIFS(Residents!$G:$G,$A219,Residents!$ID:$ID,1,Residents!$IL:$IL,$C219),"")</f>
        <v/>
      </c>
      <c r="N219" t="str">
        <f>IF(N$5,COUNTIFS(Residents!$G:$G,$A219,Residents!$ID:$ID,1,Residents!$IL:$IL,$C219),"")</f>
        <v/>
      </c>
      <c r="O219" t="str">
        <f>IF(O$5,COUNTIFS(Residents!$G:$G,$A219,Residents!$ID:$ID,1,Residents!$IL:$IL,$C219),"")</f>
        <v/>
      </c>
      <c r="P219" t="str">
        <f>IF(P$5,COUNTIFS(Residents!$G:$G,$A219,Residents!$ID:$ID,1,Residents!$IL:$IL,$C219),"")</f>
        <v/>
      </c>
      <c r="Q219" t="str">
        <f>IF(Q$5,COUNTIFS(Residents!$G:$G,$A219,Residents!$ID:$ID,1,Residents!$IL:$IL,$C219),"")</f>
        <v/>
      </c>
      <c r="R219" t="str">
        <f>IF(R$5,COUNTIFS(Residents!$G:$G,$A219,Residents!$ID:$ID,1,Residents!$IL:$IL,$C219),"")</f>
        <v/>
      </c>
    </row>
    <row r="220" spans="1:18" ht="15">
      <c r="A220" t="s">
        <v>40</v>
      </c>
      <c r="B220" t="str">
        <f t="shared" si="38"/>
        <v>Number of individuals for whom 2 pleasant moments/meaningful activities have been recorded</v>
      </c>
      <c r="C220">
        <f aca="true" t="shared" si="39" ref="C220:C230">1+C219</f>
        <v>2</v>
      </c>
      <c r="E220" t="s">
        <v>465</v>
      </c>
      <c r="F220" t="str">
        <f>IF(F$5,COUNTIFS(Residents!$G:$G,$A220,Residents!$ID:$ID,1,Residents!$IL:$IL,$C220),"")</f>
        <v/>
      </c>
      <c r="G220" t="str">
        <f>IF(G$5,COUNTIFS(Residents!$G:$G,$A220,Residents!$ID:$ID,1,Residents!$IL:$IL,$C220),"")</f>
        <v/>
      </c>
      <c r="H220" t="str">
        <f>IF(H$5,COUNTIFS(Residents!$G:$G,$A220,Residents!$ID:$ID,1,Residents!$IL:$IL,$C220),"")</f>
        <v/>
      </c>
      <c r="I220" t="str">
        <f>IF(I$5,COUNTIFS(Residents!$G:$G,$A220,Residents!$ID:$ID,1,Residents!$IL:$IL,$C220),"")</f>
        <v/>
      </c>
      <c r="J220" t="str">
        <f>IF(J$5,COUNTIFS(Residents!$G:$G,$A220,Residents!$ID:$ID,1,Residents!$IL:$IL,$C220),"")</f>
        <v/>
      </c>
      <c r="K220" t="str">
        <f>IF(K$5,COUNTIFS(Residents!$G:$G,$A220,Residents!$ID:$ID,1,Residents!$IL:$IL,$C220),"")</f>
        <v/>
      </c>
      <c r="L220" t="str">
        <f>IF(L$5,COUNTIFS(Residents!$G:$G,$A220,Residents!$ID:$ID,1,Residents!$IL:$IL,$C220),"")</f>
        <v/>
      </c>
      <c r="M220" t="str">
        <f>IF(M$5,COUNTIFS(Residents!$G:$G,$A220,Residents!$ID:$ID,1,Residents!$IL:$IL,$C220),"")</f>
        <v/>
      </c>
      <c r="N220" t="str">
        <f>IF(N$5,COUNTIFS(Residents!$G:$G,$A220,Residents!$ID:$ID,1,Residents!$IL:$IL,$C220),"")</f>
        <v/>
      </c>
      <c r="O220" t="str">
        <f>IF(O$5,COUNTIFS(Residents!$G:$G,$A220,Residents!$ID:$ID,1,Residents!$IL:$IL,$C220),"")</f>
        <v/>
      </c>
      <c r="P220" t="str">
        <f>IF(P$5,COUNTIFS(Residents!$G:$G,$A220,Residents!$ID:$ID,1,Residents!$IL:$IL,$C220),"")</f>
        <v/>
      </c>
      <c r="Q220" t="str">
        <f>IF(Q$5,COUNTIFS(Residents!$G:$G,$A220,Residents!$ID:$ID,1,Residents!$IL:$IL,$C220),"")</f>
        <v/>
      </c>
      <c r="R220" t="str">
        <f>IF(R$5,COUNTIFS(Residents!$G:$G,$A220,Residents!$ID:$ID,1,Residents!$IL:$IL,$C220),"")</f>
        <v/>
      </c>
    </row>
    <row r="221" spans="1:18" ht="15">
      <c r="A221" t="s">
        <v>40</v>
      </c>
      <c r="B221" t="str">
        <f t="shared" si="38"/>
        <v>Number of individuals for whom 3 pleasant moments/meaningful activities have been recorded</v>
      </c>
      <c r="C221">
        <f t="shared" si="39"/>
        <v>3</v>
      </c>
      <c r="E221" t="s">
        <v>465</v>
      </c>
      <c r="F221" t="str">
        <f>IF(F$5,COUNTIFS(Residents!$G:$G,$A221,Residents!$ID:$ID,1,Residents!$IL:$IL,$C221),"")</f>
        <v/>
      </c>
      <c r="G221" t="str">
        <f>IF(G$5,COUNTIFS(Residents!$G:$G,$A221,Residents!$ID:$ID,1,Residents!$IL:$IL,$C221),"")</f>
        <v/>
      </c>
      <c r="H221" t="str">
        <f>IF(H$5,COUNTIFS(Residents!$G:$G,$A221,Residents!$ID:$ID,1,Residents!$IL:$IL,$C221),"")</f>
        <v/>
      </c>
      <c r="I221" t="str">
        <f>IF(I$5,COUNTIFS(Residents!$G:$G,$A221,Residents!$ID:$ID,1,Residents!$IL:$IL,$C221),"")</f>
        <v/>
      </c>
      <c r="J221" t="str">
        <f>IF(J$5,COUNTIFS(Residents!$G:$G,$A221,Residents!$ID:$ID,1,Residents!$IL:$IL,$C221),"")</f>
        <v/>
      </c>
      <c r="K221" t="str">
        <f>IF(K$5,COUNTIFS(Residents!$G:$G,$A221,Residents!$ID:$ID,1,Residents!$IL:$IL,$C221),"")</f>
        <v/>
      </c>
      <c r="L221" t="str">
        <f>IF(L$5,COUNTIFS(Residents!$G:$G,$A221,Residents!$ID:$ID,1,Residents!$IL:$IL,$C221),"")</f>
        <v/>
      </c>
      <c r="M221" t="str">
        <f>IF(M$5,COUNTIFS(Residents!$G:$G,$A221,Residents!$ID:$ID,1,Residents!$IL:$IL,$C221),"")</f>
        <v/>
      </c>
      <c r="N221" t="str">
        <f>IF(N$5,COUNTIFS(Residents!$G:$G,$A221,Residents!$ID:$ID,1,Residents!$IL:$IL,$C221),"")</f>
        <v/>
      </c>
      <c r="O221" t="str">
        <f>IF(O$5,COUNTIFS(Residents!$G:$G,$A221,Residents!$ID:$ID,1,Residents!$IL:$IL,$C221),"")</f>
        <v/>
      </c>
      <c r="P221" t="str">
        <f>IF(P$5,COUNTIFS(Residents!$G:$G,$A221,Residents!$ID:$ID,1,Residents!$IL:$IL,$C221),"")</f>
        <v/>
      </c>
      <c r="Q221" t="str">
        <f>IF(Q$5,COUNTIFS(Residents!$G:$G,$A221,Residents!$ID:$ID,1,Residents!$IL:$IL,$C221),"")</f>
        <v/>
      </c>
      <c r="R221" t="str">
        <f>IF(R$5,COUNTIFS(Residents!$G:$G,$A221,Residents!$ID:$ID,1,Residents!$IL:$IL,$C221),"")</f>
        <v/>
      </c>
    </row>
    <row r="222" spans="1:18" ht="15">
      <c r="A222" t="s">
        <v>40</v>
      </c>
      <c r="B222" t="str">
        <f t="shared" si="38"/>
        <v>Number of individuals for whom 4 pleasant moments/meaningful activities have been recorded</v>
      </c>
      <c r="C222">
        <f t="shared" si="39"/>
        <v>4</v>
      </c>
      <c r="E222" t="s">
        <v>465</v>
      </c>
      <c r="F222" t="str">
        <f>IF(F$5,COUNTIFS(Residents!$G:$G,$A222,Residents!$ID:$ID,1,Residents!$IL:$IL,$C222),"")</f>
        <v/>
      </c>
      <c r="G222" t="str">
        <f>IF(G$5,COUNTIFS(Residents!$G:$G,$A222,Residents!$ID:$ID,1,Residents!$IL:$IL,$C222),"")</f>
        <v/>
      </c>
      <c r="H222" t="str">
        <f>IF(H$5,COUNTIFS(Residents!$G:$G,$A222,Residents!$ID:$ID,1,Residents!$IL:$IL,$C222),"")</f>
        <v/>
      </c>
      <c r="I222" t="str">
        <f>IF(I$5,COUNTIFS(Residents!$G:$G,$A222,Residents!$ID:$ID,1,Residents!$IL:$IL,$C222),"")</f>
        <v/>
      </c>
      <c r="J222" t="str">
        <f>IF(J$5,COUNTIFS(Residents!$G:$G,$A222,Residents!$ID:$ID,1,Residents!$IL:$IL,$C222),"")</f>
        <v/>
      </c>
      <c r="K222" t="str">
        <f>IF(K$5,COUNTIFS(Residents!$G:$G,$A222,Residents!$ID:$ID,1,Residents!$IL:$IL,$C222),"")</f>
        <v/>
      </c>
      <c r="L222" t="str">
        <f>IF(L$5,COUNTIFS(Residents!$G:$G,$A222,Residents!$ID:$ID,1,Residents!$IL:$IL,$C222),"")</f>
        <v/>
      </c>
      <c r="M222" t="str">
        <f>IF(M$5,COUNTIFS(Residents!$G:$G,$A222,Residents!$ID:$ID,1,Residents!$IL:$IL,$C222),"")</f>
        <v/>
      </c>
      <c r="N222" t="str">
        <f>IF(N$5,COUNTIFS(Residents!$G:$G,$A222,Residents!$ID:$ID,1,Residents!$IL:$IL,$C222),"")</f>
        <v/>
      </c>
      <c r="O222" t="str">
        <f>IF(O$5,COUNTIFS(Residents!$G:$G,$A222,Residents!$ID:$ID,1,Residents!$IL:$IL,$C222),"")</f>
        <v/>
      </c>
      <c r="P222" t="str">
        <f>IF(P$5,COUNTIFS(Residents!$G:$G,$A222,Residents!$ID:$ID,1,Residents!$IL:$IL,$C222),"")</f>
        <v/>
      </c>
      <c r="Q222" t="str">
        <f>IF(Q$5,COUNTIFS(Residents!$G:$G,$A222,Residents!$ID:$ID,1,Residents!$IL:$IL,$C222),"")</f>
        <v/>
      </c>
      <c r="R222" t="str">
        <f>IF(R$5,COUNTIFS(Residents!$G:$G,$A222,Residents!$ID:$ID,1,Residents!$IL:$IL,$C222),"")</f>
        <v/>
      </c>
    </row>
    <row r="223" spans="1:18" ht="15">
      <c r="A223" t="s">
        <v>40</v>
      </c>
      <c r="B223" t="str">
        <f t="shared" si="38"/>
        <v>Number of individuals for whom 5 pleasant moments/meaningful activities have been recorded</v>
      </c>
      <c r="C223">
        <f t="shared" si="39"/>
        <v>5</v>
      </c>
      <c r="E223" t="s">
        <v>465</v>
      </c>
      <c r="F223" t="str">
        <f>IF(F$5,COUNTIFS(Residents!$G:$G,$A223,Residents!$ID:$ID,1,Residents!$IL:$IL,$C223),"")</f>
        <v/>
      </c>
      <c r="G223" t="str">
        <f>IF(G$5,COUNTIFS(Residents!$G:$G,$A223,Residents!$ID:$ID,1,Residents!$IL:$IL,$C223),"")</f>
        <v/>
      </c>
      <c r="H223" t="str">
        <f>IF(H$5,COUNTIFS(Residents!$G:$G,$A223,Residents!$ID:$ID,1,Residents!$IL:$IL,$C223),"")</f>
        <v/>
      </c>
      <c r="I223" t="str">
        <f>IF(I$5,COUNTIFS(Residents!$G:$G,$A223,Residents!$ID:$ID,1,Residents!$IL:$IL,$C223),"")</f>
        <v/>
      </c>
      <c r="J223" t="str">
        <f>IF(J$5,COUNTIFS(Residents!$G:$G,$A223,Residents!$ID:$ID,1,Residents!$IL:$IL,$C223),"")</f>
        <v/>
      </c>
      <c r="K223" t="str">
        <f>IF(K$5,COUNTIFS(Residents!$G:$G,$A223,Residents!$ID:$ID,1,Residents!$IL:$IL,$C223),"")</f>
        <v/>
      </c>
      <c r="L223" t="str">
        <f>IF(L$5,COUNTIFS(Residents!$G:$G,$A223,Residents!$ID:$ID,1,Residents!$IL:$IL,$C223),"")</f>
        <v/>
      </c>
      <c r="M223" t="str">
        <f>IF(M$5,COUNTIFS(Residents!$G:$G,$A223,Residents!$ID:$ID,1,Residents!$IL:$IL,$C223),"")</f>
        <v/>
      </c>
      <c r="N223" t="str">
        <f>IF(N$5,COUNTIFS(Residents!$G:$G,$A223,Residents!$ID:$ID,1,Residents!$IL:$IL,$C223),"")</f>
        <v/>
      </c>
      <c r="O223" t="str">
        <f>IF(O$5,COUNTIFS(Residents!$G:$G,$A223,Residents!$ID:$ID,1,Residents!$IL:$IL,$C223),"")</f>
        <v/>
      </c>
      <c r="P223" t="str">
        <f>IF(P$5,COUNTIFS(Residents!$G:$G,$A223,Residents!$ID:$ID,1,Residents!$IL:$IL,$C223),"")</f>
        <v/>
      </c>
      <c r="Q223" t="str">
        <f>IF(Q$5,COUNTIFS(Residents!$G:$G,$A223,Residents!$ID:$ID,1,Residents!$IL:$IL,$C223),"")</f>
        <v/>
      </c>
      <c r="R223" t="str">
        <f>IF(R$5,COUNTIFS(Residents!$G:$G,$A223,Residents!$ID:$ID,1,Residents!$IL:$IL,$C223),"")</f>
        <v/>
      </c>
    </row>
    <row r="224" spans="1:18" ht="15">
      <c r="A224" t="s">
        <v>40</v>
      </c>
      <c r="B224" t="str">
        <f t="shared" si="38"/>
        <v>Number of individuals for whom 6 pleasant moments/meaningful activities have been recorded</v>
      </c>
      <c r="C224">
        <f t="shared" si="39"/>
        <v>6</v>
      </c>
      <c r="E224" t="s">
        <v>465</v>
      </c>
      <c r="F224" t="str">
        <f>IF(F$5,COUNTIFS(Residents!$G:$G,$A224,Residents!$ID:$ID,1,Residents!$IL:$IL,$C224),"")</f>
        <v/>
      </c>
      <c r="G224" t="str">
        <f>IF(G$5,COUNTIFS(Residents!$G:$G,$A224,Residents!$ID:$ID,1,Residents!$IL:$IL,$C224),"")</f>
        <v/>
      </c>
      <c r="H224" t="str">
        <f>IF(H$5,COUNTIFS(Residents!$G:$G,$A224,Residents!$ID:$ID,1,Residents!$IL:$IL,$C224),"")</f>
        <v/>
      </c>
      <c r="I224" t="str">
        <f>IF(I$5,COUNTIFS(Residents!$G:$G,$A224,Residents!$ID:$ID,1,Residents!$IL:$IL,$C224),"")</f>
        <v/>
      </c>
      <c r="J224" t="str">
        <f>IF(J$5,COUNTIFS(Residents!$G:$G,$A224,Residents!$ID:$ID,1,Residents!$IL:$IL,$C224),"")</f>
        <v/>
      </c>
      <c r="K224" t="str">
        <f>IF(K$5,COUNTIFS(Residents!$G:$G,$A224,Residents!$ID:$ID,1,Residents!$IL:$IL,$C224),"")</f>
        <v/>
      </c>
      <c r="L224" t="str">
        <f>IF(L$5,COUNTIFS(Residents!$G:$G,$A224,Residents!$ID:$ID,1,Residents!$IL:$IL,$C224),"")</f>
        <v/>
      </c>
      <c r="M224" t="str">
        <f>IF(M$5,COUNTIFS(Residents!$G:$G,$A224,Residents!$ID:$ID,1,Residents!$IL:$IL,$C224),"")</f>
        <v/>
      </c>
      <c r="N224" t="str">
        <f>IF(N$5,COUNTIFS(Residents!$G:$G,$A224,Residents!$ID:$ID,1,Residents!$IL:$IL,$C224),"")</f>
        <v/>
      </c>
      <c r="O224" t="str">
        <f>IF(O$5,COUNTIFS(Residents!$G:$G,$A224,Residents!$ID:$ID,1,Residents!$IL:$IL,$C224),"")</f>
        <v/>
      </c>
      <c r="P224" t="str">
        <f>IF(P$5,COUNTIFS(Residents!$G:$G,$A224,Residents!$ID:$ID,1,Residents!$IL:$IL,$C224),"")</f>
        <v/>
      </c>
      <c r="Q224" t="str">
        <f>IF(Q$5,COUNTIFS(Residents!$G:$G,$A224,Residents!$ID:$ID,1,Residents!$IL:$IL,$C224),"")</f>
        <v/>
      </c>
      <c r="R224" t="str">
        <f>IF(R$5,COUNTIFS(Residents!$G:$G,$A224,Residents!$ID:$ID,1,Residents!$IL:$IL,$C224),"")</f>
        <v/>
      </c>
    </row>
    <row r="225" spans="1:18" ht="15">
      <c r="A225" t="s">
        <v>40</v>
      </c>
      <c r="B225" t="str">
        <f t="shared" si="38"/>
        <v>Number of individuals for whom 7 pleasant moments/meaningful activities have been recorded</v>
      </c>
      <c r="C225">
        <f t="shared" si="39"/>
        <v>7</v>
      </c>
      <c r="E225" t="s">
        <v>465</v>
      </c>
      <c r="F225" t="str">
        <f>IF(F$5,COUNTIFS(Residents!$G:$G,$A225,Residents!$ID:$ID,1,Residents!$IL:$IL,$C225),"")</f>
        <v/>
      </c>
      <c r="G225" t="str">
        <f>IF(G$5,COUNTIFS(Residents!$G:$G,$A225,Residents!$ID:$ID,1,Residents!$IL:$IL,$C225),"")</f>
        <v/>
      </c>
      <c r="H225" t="str">
        <f>IF(H$5,COUNTIFS(Residents!$G:$G,$A225,Residents!$ID:$ID,1,Residents!$IL:$IL,$C225),"")</f>
        <v/>
      </c>
      <c r="I225" t="str">
        <f>IF(I$5,COUNTIFS(Residents!$G:$G,$A225,Residents!$ID:$ID,1,Residents!$IL:$IL,$C225),"")</f>
        <v/>
      </c>
      <c r="J225" t="str">
        <f>IF(J$5,COUNTIFS(Residents!$G:$G,$A225,Residents!$ID:$ID,1,Residents!$IL:$IL,$C225),"")</f>
        <v/>
      </c>
      <c r="K225" t="str">
        <f>IF(K$5,COUNTIFS(Residents!$G:$G,$A225,Residents!$ID:$ID,1,Residents!$IL:$IL,$C225),"")</f>
        <v/>
      </c>
      <c r="L225" t="str">
        <f>IF(L$5,COUNTIFS(Residents!$G:$G,$A225,Residents!$ID:$ID,1,Residents!$IL:$IL,$C225),"")</f>
        <v/>
      </c>
      <c r="M225" t="str">
        <f>IF(M$5,COUNTIFS(Residents!$G:$G,$A225,Residents!$ID:$ID,1,Residents!$IL:$IL,$C225),"")</f>
        <v/>
      </c>
      <c r="N225" t="str">
        <f>IF(N$5,COUNTIFS(Residents!$G:$G,$A225,Residents!$ID:$ID,1,Residents!$IL:$IL,$C225),"")</f>
        <v/>
      </c>
      <c r="O225" t="str">
        <f>IF(O$5,COUNTIFS(Residents!$G:$G,$A225,Residents!$ID:$ID,1,Residents!$IL:$IL,$C225),"")</f>
        <v/>
      </c>
      <c r="P225" t="str">
        <f>IF(P$5,COUNTIFS(Residents!$G:$G,$A225,Residents!$ID:$ID,1,Residents!$IL:$IL,$C225),"")</f>
        <v/>
      </c>
      <c r="Q225" t="str">
        <f>IF(Q$5,COUNTIFS(Residents!$G:$G,$A225,Residents!$ID:$ID,1,Residents!$IL:$IL,$C225),"")</f>
        <v/>
      </c>
      <c r="R225" t="str">
        <f>IF(R$5,COUNTIFS(Residents!$G:$G,$A225,Residents!$ID:$ID,1,Residents!$IL:$IL,$C225),"")</f>
        <v/>
      </c>
    </row>
    <row r="226" spans="1:18" ht="15">
      <c r="A226" t="s">
        <v>40</v>
      </c>
      <c r="B226" t="str">
        <f t="shared" si="38"/>
        <v>Number of individuals for whom 8 pleasant moments/meaningful activities have been recorded</v>
      </c>
      <c r="C226">
        <f t="shared" si="39"/>
        <v>8</v>
      </c>
      <c r="E226" t="s">
        <v>465</v>
      </c>
      <c r="F226" t="str">
        <f>IF(F$5,COUNTIFS(Residents!$G:$G,$A226,Residents!$ID:$ID,1,Residents!$IL:$IL,$C226),"")</f>
        <v/>
      </c>
      <c r="G226" t="str">
        <f>IF(G$5,COUNTIFS(Residents!$G:$G,$A226,Residents!$ID:$ID,1,Residents!$IL:$IL,$C226),"")</f>
        <v/>
      </c>
      <c r="H226" t="str">
        <f>IF(H$5,COUNTIFS(Residents!$G:$G,$A226,Residents!$ID:$ID,1,Residents!$IL:$IL,$C226),"")</f>
        <v/>
      </c>
      <c r="I226" t="str">
        <f>IF(I$5,COUNTIFS(Residents!$G:$G,$A226,Residents!$ID:$ID,1,Residents!$IL:$IL,$C226),"")</f>
        <v/>
      </c>
      <c r="J226" t="str">
        <f>IF(J$5,COUNTIFS(Residents!$G:$G,$A226,Residents!$ID:$ID,1,Residents!$IL:$IL,$C226),"")</f>
        <v/>
      </c>
      <c r="K226" t="str">
        <f>IF(K$5,COUNTIFS(Residents!$G:$G,$A226,Residents!$ID:$ID,1,Residents!$IL:$IL,$C226),"")</f>
        <v/>
      </c>
      <c r="L226" t="str">
        <f>IF(L$5,COUNTIFS(Residents!$G:$G,$A226,Residents!$ID:$ID,1,Residents!$IL:$IL,$C226),"")</f>
        <v/>
      </c>
      <c r="M226" t="str">
        <f>IF(M$5,COUNTIFS(Residents!$G:$G,$A226,Residents!$ID:$ID,1,Residents!$IL:$IL,$C226),"")</f>
        <v/>
      </c>
      <c r="N226" t="str">
        <f>IF(N$5,COUNTIFS(Residents!$G:$G,$A226,Residents!$ID:$ID,1,Residents!$IL:$IL,$C226),"")</f>
        <v/>
      </c>
      <c r="O226" t="str">
        <f>IF(O$5,COUNTIFS(Residents!$G:$G,$A226,Residents!$ID:$ID,1,Residents!$IL:$IL,$C226),"")</f>
        <v/>
      </c>
      <c r="P226" t="str">
        <f>IF(P$5,COUNTIFS(Residents!$G:$G,$A226,Residents!$ID:$ID,1,Residents!$IL:$IL,$C226),"")</f>
        <v/>
      </c>
      <c r="Q226" t="str">
        <f>IF(Q$5,COUNTIFS(Residents!$G:$G,$A226,Residents!$ID:$ID,1,Residents!$IL:$IL,$C226),"")</f>
        <v/>
      </c>
      <c r="R226" t="str">
        <f>IF(R$5,COUNTIFS(Residents!$G:$G,$A226,Residents!$ID:$ID,1,Residents!$IL:$IL,$C226),"")</f>
        <v/>
      </c>
    </row>
    <row r="227" spans="1:18" ht="15">
      <c r="A227" t="s">
        <v>40</v>
      </c>
      <c r="B227" t="str">
        <f t="shared" si="38"/>
        <v>Number of individuals for whom 9 pleasant moments/meaningful activities have been recorded</v>
      </c>
      <c r="C227">
        <f t="shared" si="39"/>
        <v>9</v>
      </c>
      <c r="E227" t="s">
        <v>465</v>
      </c>
      <c r="F227" t="str">
        <f>IF(F$5,COUNTIFS(Residents!$G:$G,$A227,Residents!$ID:$ID,1,Residents!$IL:$IL,$C227),"")</f>
        <v/>
      </c>
      <c r="G227" t="str">
        <f>IF(G$5,COUNTIFS(Residents!$G:$G,$A227,Residents!$ID:$ID,1,Residents!$IL:$IL,$C227),"")</f>
        <v/>
      </c>
      <c r="H227" t="str">
        <f>IF(H$5,COUNTIFS(Residents!$G:$G,$A227,Residents!$ID:$ID,1,Residents!$IL:$IL,$C227),"")</f>
        <v/>
      </c>
      <c r="I227" t="str">
        <f>IF(I$5,COUNTIFS(Residents!$G:$G,$A227,Residents!$ID:$ID,1,Residents!$IL:$IL,$C227),"")</f>
        <v/>
      </c>
      <c r="J227" t="str">
        <f>IF(J$5,COUNTIFS(Residents!$G:$G,$A227,Residents!$ID:$ID,1,Residents!$IL:$IL,$C227),"")</f>
        <v/>
      </c>
      <c r="K227" t="str">
        <f>IF(K$5,COUNTIFS(Residents!$G:$G,$A227,Residents!$ID:$ID,1,Residents!$IL:$IL,$C227),"")</f>
        <v/>
      </c>
      <c r="L227" t="str">
        <f>IF(L$5,COUNTIFS(Residents!$G:$G,$A227,Residents!$ID:$ID,1,Residents!$IL:$IL,$C227),"")</f>
        <v/>
      </c>
      <c r="M227" t="str">
        <f>IF(M$5,COUNTIFS(Residents!$G:$G,$A227,Residents!$ID:$ID,1,Residents!$IL:$IL,$C227),"")</f>
        <v/>
      </c>
      <c r="N227" t="str">
        <f>IF(N$5,COUNTIFS(Residents!$G:$G,$A227,Residents!$ID:$ID,1,Residents!$IL:$IL,$C227),"")</f>
        <v/>
      </c>
      <c r="O227" t="str">
        <f>IF(O$5,COUNTIFS(Residents!$G:$G,$A227,Residents!$ID:$ID,1,Residents!$IL:$IL,$C227),"")</f>
        <v/>
      </c>
      <c r="P227" t="str">
        <f>IF(P$5,COUNTIFS(Residents!$G:$G,$A227,Residents!$ID:$ID,1,Residents!$IL:$IL,$C227),"")</f>
        <v/>
      </c>
      <c r="Q227" t="str">
        <f>IF(Q$5,COUNTIFS(Residents!$G:$G,$A227,Residents!$ID:$ID,1,Residents!$IL:$IL,$C227),"")</f>
        <v/>
      </c>
      <c r="R227" t="str">
        <f>IF(R$5,COUNTIFS(Residents!$G:$G,$A227,Residents!$ID:$ID,1,Residents!$IL:$IL,$C227),"")</f>
        <v/>
      </c>
    </row>
    <row r="228" spans="1:18" ht="15">
      <c r="A228" t="s">
        <v>40</v>
      </c>
      <c r="B228" t="str">
        <f t="shared" si="38"/>
        <v>Number of individuals for whom 10 pleasant moments/meaningful activities have been recorded</v>
      </c>
      <c r="C228">
        <f t="shared" si="39"/>
        <v>10</v>
      </c>
      <c r="E228" t="s">
        <v>465</v>
      </c>
      <c r="F228" t="str">
        <f>IF(F$5,COUNTIFS(Residents!$G:$G,$A228,Residents!$ID:$ID,1,Residents!$IL:$IL,$C228),"")</f>
        <v/>
      </c>
      <c r="G228" t="str">
        <f>IF(G$5,COUNTIFS(Residents!$G:$G,$A228,Residents!$ID:$ID,1,Residents!$IL:$IL,$C228),"")</f>
        <v/>
      </c>
      <c r="H228" t="str">
        <f>IF(H$5,COUNTIFS(Residents!$G:$G,$A228,Residents!$ID:$ID,1,Residents!$IL:$IL,$C228),"")</f>
        <v/>
      </c>
      <c r="I228" t="str">
        <f>IF(I$5,COUNTIFS(Residents!$G:$G,$A228,Residents!$ID:$ID,1,Residents!$IL:$IL,$C228),"")</f>
        <v/>
      </c>
      <c r="J228" t="str">
        <f>IF(J$5,COUNTIFS(Residents!$G:$G,$A228,Residents!$ID:$ID,1,Residents!$IL:$IL,$C228),"")</f>
        <v/>
      </c>
      <c r="K228" t="str">
        <f>IF(K$5,COUNTIFS(Residents!$G:$G,$A228,Residents!$ID:$ID,1,Residents!$IL:$IL,$C228),"")</f>
        <v/>
      </c>
      <c r="L228" t="str">
        <f>IF(L$5,COUNTIFS(Residents!$G:$G,$A228,Residents!$ID:$ID,1,Residents!$IL:$IL,$C228),"")</f>
        <v/>
      </c>
      <c r="M228" t="str">
        <f>IF(M$5,COUNTIFS(Residents!$G:$G,$A228,Residents!$ID:$ID,1,Residents!$IL:$IL,$C228),"")</f>
        <v/>
      </c>
      <c r="N228" t="str">
        <f>IF(N$5,COUNTIFS(Residents!$G:$G,$A228,Residents!$ID:$ID,1,Residents!$IL:$IL,$C228),"")</f>
        <v/>
      </c>
      <c r="O228" t="str">
        <f>IF(O$5,COUNTIFS(Residents!$G:$G,$A228,Residents!$ID:$ID,1,Residents!$IL:$IL,$C228),"")</f>
        <v/>
      </c>
      <c r="P228" t="str">
        <f>IF(P$5,COUNTIFS(Residents!$G:$G,$A228,Residents!$ID:$ID,1,Residents!$IL:$IL,$C228),"")</f>
        <v/>
      </c>
      <c r="Q228" t="str">
        <f>IF(Q$5,COUNTIFS(Residents!$G:$G,$A228,Residents!$ID:$ID,1,Residents!$IL:$IL,$C228),"")</f>
        <v/>
      </c>
      <c r="R228" t="str">
        <f>IF(R$5,COUNTIFS(Residents!$G:$G,$A228,Residents!$ID:$ID,1,Residents!$IL:$IL,$C228),"")</f>
        <v/>
      </c>
    </row>
    <row r="229" spans="1:18" ht="15">
      <c r="A229" t="s">
        <v>40</v>
      </c>
      <c r="B229" t="str">
        <f t="shared" si="38"/>
        <v>Number of individuals for whom 11 pleasant moments/meaningful activities have been recorded</v>
      </c>
      <c r="C229">
        <f t="shared" si="39"/>
        <v>11</v>
      </c>
      <c r="E229" t="s">
        <v>465</v>
      </c>
      <c r="F229" t="str">
        <f>IF(F$5,COUNTIFS(Residents!$G:$G,$A229,Residents!$ID:$ID,1,Residents!$IL:$IL,$C229),"")</f>
        <v/>
      </c>
      <c r="G229" t="str">
        <f>IF(G$5,COUNTIFS(Residents!$G:$G,$A229,Residents!$ID:$ID,1,Residents!$IL:$IL,$C229),"")</f>
        <v/>
      </c>
      <c r="H229" t="str">
        <f>IF(H$5,COUNTIFS(Residents!$G:$G,$A229,Residents!$ID:$ID,1,Residents!$IL:$IL,$C229),"")</f>
        <v/>
      </c>
      <c r="I229" t="str">
        <f>IF(I$5,COUNTIFS(Residents!$G:$G,$A229,Residents!$ID:$ID,1,Residents!$IL:$IL,$C229),"")</f>
        <v/>
      </c>
      <c r="J229" t="str">
        <f>IF(J$5,COUNTIFS(Residents!$G:$G,$A229,Residents!$ID:$ID,1,Residents!$IL:$IL,$C229),"")</f>
        <v/>
      </c>
      <c r="K229" t="str">
        <f>IF(K$5,COUNTIFS(Residents!$G:$G,$A229,Residents!$ID:$ID,1,Residents!$IL:$IL,$C229),"")</f>
        <v/>
      </c>
      <c r="L229" t="str">
        <f>IF(L$5,COUNTIFS(Residents!$G:$G,$A229,Residents!$ID:$ID,1,Residents!$IL:$IL,$C229),"")</f>
        <v/>
      </c>
      <c r="M229" t="str">
        <f>IF(M$5,COUNTIFS(Residents!$G:$G,$A229,Residents!$ID:$ID,1,Residents!$IL:$IL,$C229),"")</f>
        <v/>
      </c>
      <c r="N229" t="str">
        <f>IF(N$5,COUNTIFS(Residents!$G:$G,$A229,Residents!$ID:$ID,1,Residents!$IL:$IL,$C229),"")</f>
        <v/>
      </c>
      <c r="O229" t="str">
        <f>IF(O$5,COUNTIFS(Residents!$G:$G,$A229,Residents!$ID:$ID,1,Residents!$IL:$IL,$C229),"")</f>
        <v/>
      </c>
      <c r="P229" t="str">
        <f>IF(P$5,COUNTIFS(Residents!$G:$G,$A229,Residents!$ID:$ID,1,Residents!$IL:$IL,$C229),"")</f>
        <v/>
      </c>
      <c r="Q229" t="str">
        <f>IF(Q$5,COUNTIFS(Residents!$G:$G,$A229,Residents!$ID:$ID,1,Residents!$IL:$IL,$C229),"")</f>
        <v/>
      </c>
      <c r="R229" t="str">
        <f>IF(R$5,COUNTIFS(Residents!$G:$G,$A229,Residents!$ID:$ID,1,Residents!$IL:$IL,$C229),"")</f>
        <v/>
      </c>
    </row>
    <row r="230" spans="1:18" ht="15">
      <c r="A230" t="s">
        <v>40</v>
      </c>
      <c r="B230" t="str">
        <f t="shared" si="38"/>
        <v>Number of individuals for whom 12 pleasant moments/meaningful activities have been recorded</v>
      </c>
      <c r="C230">
        <f t="shared" si="39"/>
        <v>12</v>
      </c>
      <c r="E230" t="s">
        <v>465</v>
      </c>
      <c r="F230" t="str">
        <f>IF(F$5,COUNTIFS(Residents!$G:$G,$A230,Residents!$ID:$ID,1,Residents!$IL:$IL,$C230),"")</f>
        <v/>
      </c>
      <c r="G230" t="str">
        <f>IF(G$5,COUNTIFS(Residents!$G:$G,$A230,Residents!$ID:$ID,1,Residents!$IL:$IL,$C230),"")</f>
        <v/>
      </c>
      <c r="H230" t="str">
        <f>IF(H$5,COUNTIFS(Residents!$G:$G,$A230,Residents!$ID:$ID,1,Residents!$IL:$IL,$C230),"")</f>
        <v/>
      </c>
      <c r="I230" t="str">
        <f>IF(I$5,COUNTIFS(Residents!$G:$G,$A230,Residents!$ID:$ID,1,Residents!$IL:$IL,$C230),"")</f>
        <v/>
      </c>
      <c r="J230" t="str">
        <f>IF(J$5,COUNTIFS(Residents!$G:$G,$A230,Residents!$ID:$ID,1,Residents!$IL:$IL,$C230),"")</f>
        <v/>
      </c>
      <c r="K230" t="str">
        <f>IF(K$5,COUNTIFS(Residents!$G:$G,$A230,Residents!$ID:$ID,1,Residents!$IL:$IL,$C230),"")</f>
        <v/>
      </c>
      <c r="L230" t="str">
        <f>IF(L$5,COUNTIFS(Residents!$G:$G,$A230,Residents!$ID:$ID,1,Residents!$IL:$IL,$C230),"")</f>
        <v/>
      </c>
      <c r="M230" t="str">
        <f>IF(M$5,COUNTIFS(Residents!$G:$G,$A230,Residents!$ID:$ID,1,Residents!$IL:$IL,$C230),"")</f>
        <v/>
      </c>
      <c r="N230" t="str">
        <f>IF(N$5,COUNTIFS(Residents!$G:$G,$A230,Residents!$ID:$ID,1,Residents!$IL:$IL,$C230),"")</f>
        <v/>
      </c>
      <c r="O230" t="str">
        <f>IF(O$5,COUNTIFS(Residents!$G:$G,$A230,Residents!$ID:$ID,1,Residents!$IL:$IL,$C230),"")</f>
        <v/>
      </c>
      <c r="P230" t="str">
        <f>IF(P$5,COUNTIFS(Residents!$G:$G,$A230,Residents!$ID:$ID,1,Residents!$IL:$IL,$C230),"")</f>
        <v/>
      </c>
      <c r="Q230" t="str">
        <f>IF(Q$5,COUNTIFS(Residents!$G:$G,$A230,Residents!$ID:$ID,1,Residents!$IL:$IL,$C230),"")</f>
        <v/>
      </c>
      <c r="R230" t="str">
        <f>IF(R$5,COUNTIFS(Residents!$G:$G,$A230,Residents!$ID:$ID,1,Residents!$IL:$IL,$C230),"")</f>
        <v/>
      </c>
    </row>
    <row r="231" spans="1:18" ht="15">
      <c r="A231" t="s">
        <v>40</v>
      </c>
      <c r="B231" t="str">
        <f>"Number of individuals with Dementia dx only with "&amp;C231&amp;" PTM orders"</f>
        <v>Number of individuals with Dementia dx only with 0 PTM orders</v>
      </c>
      <c r="C231">
        <v>0</v>
      </c>
      <c r="E231" t="s">
        <v>465</v>
      </c>
      <c r="F231" t="str">
        <f>IF(F$5,COUNTIFS(Residents!$G:$G,$A231,Residents!$ID:$ID,1,Residents!$IE:$IE,1,Residents!$IF:$IF,0,Residents!$IG:$IG,$C231),"")</f>
        <v/>
      </c>
      <c r="G231" t="str">
        <f>IF(G$5,COUNTIFS(Residents!$G:$G,$A231,Residents!$ID:$ID,1,Residents!$IE:$IE,1,Residents!$IF:$IF,0,Residents!$IG:$IG,$C231),"")</f>
        <v/>
      </c>
      <c r="H231" t="str">
        <f>IF(H$5,COUNTIFS(Residents!$G:$G,$A231,Residents!$ID:$ID,1,Residents!$IE:$IE,1,Residents!$IF:$IF,0,Residents!$IG:$IG,$C231),"")</f>
        <v/>
      </c>
      <c r="I231" t="str">
        <f>IF(I$5,COUNTIFS(Residents!$G:$G,$A231,Residents!$ID:$ID,1,Residents!$IE:$IE,1,Residents!$IF:$IF,0,Residents!$IG:$IG,$C231),"")</f>
        <v/>
      </c>
      <c r="J231" t="str">
        <f>IF(J$5,COUNTIFS(Residents!$G:$G,$A231,Residents!$ID:$ID,1,Residents!$IE:$IE,1,Residents!$IF:$IF,0,Residents!$IG:$IG,$C231),"")</f>
        <v/>
      </c>
      <c r="K231" t="str">
        <f>IF(K$5,COUNTIFS(Residents!$G:$G,$A231,Residents!$ID:$ID,1,Residents!$IE:$IE,1,Residents!$IF:$IF,0,Residents!$IG:$IG,$C231),"")</f>
        <v/>
      </c>
      <c r="L231" t="str">
        <f>IF(L$5,COUNTIFS(Residents!$G:$G,$A231,Residents!$ID:$ID,1,Residents!$IE:$IE,1,Residents!$IF:$IF,0,Residents!$IG:$IG,$C231),"")</f>
        <v/>
      </c>
      <c r="M231" t="str">
        <f>IF(M$5,COUNTIFS(Residents!$G:$G,$A231,Residents!$ID:$ID,1,Residents!$IE:$IE,1,Residents!$IF:$IF,0,Residents!$IG:$IG,$C231),"")</f>
        <v/>
      </c>
      <c r="N231" t="str">
        <f>IF(N$5,COUNTIFS(Residents!$G:$G,$A231,Residents!$ID:$ID,1,Residents!$IE:$IE,1,Residents!$IF:$IF,0,Residents!$IG:$IG,$C231),"")</f>
        <v/>
      </c>
      <c r="O231" t="str">
        <f>IF(O$5,COUNTIFS(Residents!$G:$G,$A231,Residents!$ID:$ID,1,Residents!$IE:$IE,1,Residents!$IF:$IF,0,Residents!$IG:$IG,$C231),"")</f>
        <v/>
      </c>
      <c r="P231" t="str">
        <f>IF(P$5,COUNTIFS(Residents!$G:$G,$A231,Residents!$ID:$ID,1,Residents!$IE:$IE,1,Residents!$IF:$IF,0,Residents!$IG:$IG,$C231),"")</f>
        <v/>
      </c>
      <c r="Q231" t="str">
        <f>IF(Q$5,COUNTIFS(Residents!$G:$G,$A231,Residents!$ID:$ID,1,Residents!$IE:$IE,1,Residents!$IF:$IF,0,Residents!$IG:$IG,$C231),"")</f>
        <v/>
      </c>
      <c r="R231" t="str">
        <f>IF(R$5,COUNTIFS(Residents!$G:$G,$A231,Residents!$ID:$ID,1,Residents!$IE:$IE,1,Residents!$IF:$IF,0,Residents!$IG:$IG,$C231),"")</f>
        <v/>
      </c>
    </row>
    <row r="232" spans="1:18" ht="15">
      <c r="A232" t="s">
        <v>40</v>
      </c>
      <c r="B232" t="str">
        <f>"Number of individuals with Dementia dx only with "&amp;C232&amp;" PTM orders"</f>
        <v>Number of individuals with Dementia dx only with 1 PTM orders</v>
      </c>
      <c r="C232">
        <v>1</v>
      </c>
      <c r="E232" t="s">
        <v>465</v>
      </c>
      <c r="F232" t="str">
        <f>IF(F$5,COUNTIFS(Residents!$G:$G,$A232,Residents!$ID:$ID,1,Residents!$IE:$IE,1,Residents!$IF:$IF,0,Residents!$IG:$IG,$C232),"")</f>
        <v/>
      </c>
      <c r="G232" t="str">
        <f>IF(G$5,COUNTIFS(Residents!$G:$G,$A232,Residents!$ID:$ID,1,Residents!$IE:$IE,1,Residents!$IF:$IF,0,Residents!$IG:$IG,$C232),"")</f>
        <v/>
      </c>
      <c r="H232" t="str">
        <f>IF(H$5,COUNTIFS(Residents!$G:$G,$A232,Residents!$ID:$ID,1,Residents!$IE:$IE,1,Residents!$IF:$IF,0,Residents!$IG:$IG,$C232),"")</f>
        <v/>
      </c>
      <c r="I232" t="str">
        <f>IF(I$5,COUNTIFS(Residents!$G:$G,$A232,Residents!$ID:$ID,1,Residents!$IE:$IE,1,Residents!$IF:$IF,0,Residents!$IG:$IG,$C232),"")</f>
        <v/>
      </c>
      <c r="J232" t="str">
        <f>IF(J$5,COUNTIFS(Residents!$G:$G,$A232,Residents!$ID:$ID,1,Residents!$IE:$IE,1,Residents!$IF:$IF,0,Residents!$IG:$IG,$C232),"")</f>
        <v/>
      </c>
      <c r="K232" t="str">
        <f>IF(K$5,COUNTIFS(Residents!$G:$G,$A232,Residents!$ID:$ID,1,Residents!$IE:$IE,1,Residents!$IF:$IF,0,Residents!$IG:$IG,$C232),"")</f>
        <v/>
      </c>
      <c r="L232" t="str">
        <f>IF(L$5,COUNTIFS(Residents!$G:$G,$A232,Residents!$ID:$ID,1,Residents!$IE:$IE,1,Residents!$IF:$IF,0,Residents!$IG:$IG,$C232),"")</f>
        <v/>
      </c>
      <c r="M232" t="str">
        <f>IF(M$5,COUNTIFS(Residents!$G:$G,$A232,Residents!$ID:$ID,1,Residents!$IE:$IE,1,Residents!$IF:$IF,0,Residents!$IG:$IG,$C232),"")</f>
        <v/>
      </c>
      <c r="N232" t="str">
        <f>IF(N$5,COUNTIFS(Residents!$G:$G,$A232,Residents!$ID:$ID,1,Residents!$IE:$IE,1,Residents!$IF:$IF,0,Residents!$IG:$IG,$C232),"")</f>
        <v/>
      </c>
      <c r="O232" t="str">
        <f>IF(O$5,COUNTIFS(Residents!$G:$G,$A232,Residents!$ID:$ID,1,Residents!$IE:$IE,1,Residents!$IF:$IF,0,Residents!$IG:$IG,$C232),"")</f>
        <v/>
      </c>
      <c r="P232" t="str">
        <f>IF(P$5,COUNTIFS(Residents!$G:$G,$A232,Residents!$ID:$ID,1,Residents!$IE:$IE,1,Residents!$IF:$IF,0,Residents!$IG:$IG,$C232),"")</f>
        <v/>
      </c>
      <c r="Q232" t="str">
        <f>IF(Q$5,COUNTIFS(Residents!$G:$G,$A232,Residents!$ID:$ID,1,Residents!$IE:$IE,1,Residents!$IF:$IF,0,Residents!$IG:$IG,$C232),"")</f>
        <v/>
      </c>
      <c r="R232" t="str">
        <f>IF(R$5,COUNTIFS(Residents!$G:$G,$A232,Residents!$ID:$ID,1,Residents!$IE:$IE,1,Residents!$IF:$IF,0,Residents!$IG:$IG,$C232),"")</f>
        <v/>
      </c>
    </row>
    <row r="233" spans="1:18" ht="15">
      <c r="A233" t="s">
        <v>40</v>
      </c>
      <c r="B233" t="str">
        <f>"Number of individuals with Dementia dx only with "&amp;C233&amp;" PTM orders"</f>
        <v>Number of individuals with Dementia dx only with 2 PTM orders</v>
      </c>
      <c r="C233">
        <v>2</v>
      </c>
      <c r="E233" t="s">
        <v>465</v>
      </c>
      <c r="F233" t="str">
        <f>IF(F$5,COUNTIFS(Residents!$G:$G,$A233,Residents!$ID:$ID,1,Residents!$IE:$IE,1,Residents!$IF:$IF,0,Residents!$IG:$IG,$C233),"")</f>
        <v/>
      </c>
      <c r="G233" t="str">
        <f>IF(G$5,COUNTIFS(Residents!$G:$G,$A233,Residents!$ID:$ID,1,Residents!$IE:$IE,1,Residents!$IF:$IF,0,Residents!$IG:$IG,$C233),"")</f>
        <v/>
      </c>
      <c r="H233" t="str">
        <f>IF(H$5,COUNTIFS(Residents!$G:$G,$A233,Residents!$ID:$ID,1,Residents!$IE:$IE,1,Residents!$IF:$IF,0,Residents!$IG:$IG,$C233),"")</f>
        <v/>
      </c>
      <c r="I233" t="str">
        <f>IF(I$5,COUNTIFS(Residents!$G:$G,$A233,Residents!$ID:$ID,1,Residents!$IE:$IE,1,Residents!$IF:$IF,0,Residents!$IG:$IG,$C233),"")</f>
        <v/>
      </c>
      <c r="J233" t="str">
        <f>IF(J$5,COUNTIFS(Residents!$G:$G,$A233,Residents!$ID:$ID,1,Residents!$IE:$IE,1,Residents!$IF:$IF,0,Residents!$IG:$IG,$C233),"")</f>
        <v/>
      </c>
      <c r="K233" t="str">
        <f>IF(K$5,COUNTIFS(Residents!$G:$G,$A233,Residents!$ID:$ID,1,Residents!$IE:$IE,1,Residents!$IF:$IF,0,Residents!$IG:$IG,$C233),"")</f>
        <v/>
      </c>
      <c r="L233" t="str">
        <f>IF(L$5,COUNTIFS(Residents!$G:$G,$A233,Residents!$ID:$ID,1,Residents!$IE:$IE,1,Residents!$IF:$IF,0,Residents!$IG:$IG,$C233),"")</f>
        <v/>
      </c>
      <c r="M233" t="str">
        <f>IF(M$5,COUNTIFS(Residents!$G:$G,$A233,Residents!$ID:$ID,1,Residents!$IE:$IE,1,Residents!$IF:$IF,0,Residents!$IG:$IG,$C233),"")</f>
        <v/>
      </c>
      <c r="N233" t="str">
        <f>IF(N$5,COUNTIFS(Residents!$G:$G,$A233,Residents!$ID:$ID,1,Residents!$IE:$IE,1,Residents!$IF:$IF,0,Residents!$IG:$IG,$C233),"")</f>
        <v/>
      </c>
      <c r="O233" t="str">
        <f>IF(O$5,COUNTIFS(Residents!$G:$G,$A233,Residents!$ID:$ID,1,Residents!$IE:$IE,1,Residents!$IF:$IF,0,Residents!$IG:$IG,$C233),"")</f>
        <v/>
      </c>
      <c r="P233" t="str">
        <f>IF(P$5,COUNTIFS(Residents!$G:$G,$A233,Residents!$ID:$ID,1,Residents!$IE:$IE,1,Residents!$IF:$IF,0,Residents!$IG:$IG,$C233),"")</f>
        <v/>
      </c>
      <c r="Q233" t="str">
        <f>IF(Q$5,COUNTIFS(Residents!$G:$G,$A233,Residents!$ID:$ID,1,Residents!$IE:$IE,1,Residents!$IF:$IF,0,Residents!$IG:$IG,$C233),"")</f>
        <v/>
      </c>
      <c r="R233" t="str">
        <f>IF(R$5,COUNTIFS(Residents!$G:$G,$A233,Residents!$ID:$ID,1,Residents!$IE:$IE,1,Residents!$IF:$IF,0,Residents!$IG:$IG,$C233),"")</f>
        <v/>
      </c>
    </row>
    <row r="234" spans="1:18" ht="15">
      <c r="A234" t="s">
        <v>40</v>
      </c>
      <c r="B234" t="str">
        <f>"Number of individuals with Dementia dx only with "&amp;C234&amp;" PTM orders"</f>
        <v>Number of individuals with Dementia dx only with &gt;=3 PTM orders</v>
      </c>
      <c r="C234" t="s">
        <v>813</v>
      </c>
      <c r="E234" t="s">
        <v>465</v>
      </c>
      <c r="F234" t="str">
        <f>IF(F$5,COUNTIFS(Residents!$G:$G,$A234,Residents!$ID:$ID,1,Residents!$IE:$IE,1,Residents!$IF:$IF,0,Residents!$IG:$IG,$C234),"")</f>
        <v/>
      </c>
      <c r="G234" t="str">
        <f>IF(G$5,COUNTIFS(Residents!$G:$G,$A234,Residents!$ID:$ID,1,Residents!$IE:$IE,1,Residents!$IF:$IF,0,Residents!$IG:$IG,$C234),"")</f>
        <v/>
      </c>
      <c r="H234" t="str">
        <f>IF(H$5,COUNTIFS(Residents!$G:$G,$A234,Residents!$ID:$ID,1,Residents!$IE:$IE,1,Residents!$IF:$IF,0,Residents!$IG:$IG,$C234),"")</f>
        <v/>
      </c>
      <c r="I234" t="str">
        <f>IF(I$5,COUNTIFS(Residents!$G:$G,$A234,Residents!$ID:$ID,1,Residents!$IE:$IE,1,Residents!$IF:$IF,0,Residents!$IG:$IG,$C234),"")</f>
        <v/>
      </c>
      <c r="J234" t="str">
        <f>IF(J$5,COUNTIFS(Residents!$G:$G,$A234,Residents!$ID:$ID,1,Residents!$IE:$IE,1,Residents!$IF:$IF,0,Residents!$IG:$IG,$C234),"")</f>
        <v/>
      </c>
      <c r="K234" t="str">
        <f>IF(K$5,COUNTIFS(Residents!$G:$G,$A234,Residents!$ID:$ID,1,Residents!$IE:$IE,1,Residents!$IF:$IF,0,Residents!$IG:$IG,$C234),"")</f>
        <v/>
      </c>
      <c r="L234" t="str">
        <f>IF(L$5,COUNTIFS(Residents!$G:$G,$A234,Residents!$ID:$ID,1,Residents!$IE:$IE,1,Residents!$IF:$IF,0,Residents!$IG:$IG,$C234),"")</f>
        <v/>
      </c>
      <c r="M234" t="str">
        <f>IF(M$5,COUNTIFS(Residents!$G:$G,$A234,Residents!$ID:$ID,1,Residents!$IE:$IE,1,Residents!$IF:$IF,0,Residents!$IG:$IG,$C234),"")</f>
        <v/>
      </c>
      <c r="N234" t="str">
        <f>IF(N$5,COUNTIFS(Residents!$G:$G,$A234,Residents!$ID:$ID,1,Residents!$IE:$IE,1,Residents!$IF:$IF,0,Residents!$IG:$IG,$C234),"")</f>
        <v/>
      </c>
      <c r="O234" t="str">
        <f>IF(O$5,COUNTIFS(Residents!$G:$G,$A234,Residents!$ID:$ID,1,Residents!$IE:$IE,1,Residents!$IF:$IF,0,Residents!$IG:$IG,$C234),"")</f>
        <v/>
      </c>
      <c r="P234" t="str">
        <f>IF(P$5,COUNTIFS(Residents!$G:$G,$A234,Residents!$ID:$ID,1,Residents!$IE:$IE,1,Residents!$IF:$IF,0,Residents!$IG:$IG,$C234),"")</f>
        <v/>
      </c>
      <c r="Q234" t="str">
        <f>IF(Q$5,COUNTIFS(Residents!$G:$G,$A234,Residents!$ID:$ID,1,Residents!$IE:$IE,1,Residents!$IF:$IF,0,Residents!$IG:$IG,$C234),"")</f>
        <v/>
      </c>
      <c r="R234" t="str">
        <f>IF(R$5,COUNTIFS(Residents!$G:$G,$A234,Residents!$ID:$ID,1,Residents!$IE:$IE,1,Residents!$IF:$IF,0,Residents!$IG:$IG,$C234),"")</f>
        <v/>
      </c>
    </row>
    <row r="235" spans="1:18" ht="15">
      <c r="A235" t="s">
        <v>40</v>
      </c>
      <c r="B235" t="str">
        <f>"Number of individuals with MH dx only with "&amp;C235&amp;" PTM orders"</f>
        <v>Number of individuals with MH dx only with 0 PTM orders</v>
      </c>
      <c r="C235">
        <f>C231</f>
        <v>0</v>
      </c>
      <c r="E235" t="s">
        <v>465</v>
      </c>
      <c r="F235" t="str">
        <f>IF(F$5,COUNTIFS(Residents!$G:$G,$A235,Residents!$ID:$ID,1,Residents!$IE:$IE,0,Residents!$IF:$IF,1,Residents!$IG:$IG,$C235),"")</f>
        <v/>
      </c>
      <c r="G235" t="str">
        <f>IF(G$5,COUNTIFS(Residents!$G:$G,$A235,Residents!$ID:$ID,1,Residents!$IE:$IE,0,Residents!$IF:$IF,1,Residents!$IG:$IG,$C235),"")</f>
        <v/>
      </c>
      <c r="H235" t="str">
        <f>IF(H$5,COUNTIFS(Residents!$G:$G,$A235,Residents!$ID:$ID,1,Residents!$IE:$IE,0,Residents!$IF:$IF,1,Residents!$IG:$IG,$C235),"")</f>
        <v/>
      </c>
      <c r="I235" t="str">
        <f>IF(I$5,COUNTIFS(Residents!$G:$G,$A235,Residents!$ID:$ID,1,Residents!$IE:$IE,0,Residents!$IF:$IF,1,Residents!$IG:$IG,$C235),"")</f>
        <v/>
      </c>
      <c r="J235" t="str">
        <f>IF(J$5,COUNTIFS(Residents!$G:$G,$A235,Residents!$ID:$ID,1,Residents!$IE:$IE,0,Residents!$IF:$IF,1,Residents!$IG:$IG,$C235),"")</f>
        <v/>
      </c>
      <c r="K235" t="str">
        <f>IF(K$5,COUNTIFS(Residents!$G:$G,$A235,Residents!$ID:$ID,1,Residents!$IE:$IE,0,Residents!$IF:$IF,1,Residents!$IG:$IG,$C235),"")</f>
        <v/>
      </c>
      <c r="L235" t="str">
        <f>IF(L$5,COUNTIFS(Residents!$G:$G,$A235,Residents!$ID:$ID,1,Residents!$IE:$IE,0,Residents!$IF:$IF,1,Residents!$IG:$IG,$C235),"")</f>
        <v/>
      </c>
      <c r="M235" t="str">
        <f>IF(M$5,COUNTIFS(Residents!$G:$G,$A235,Residents!$ID:$ID,1,Residents!$IE:$IE,0,Residents!$IF:$IF,1,Residents!$IG:$IG,$C235),"")</f>
        <v/>
      </c>
      <c r="N235" t="str">
        <f>IF(N$5,COUNTIFS(Residents!$G:$G,$A235,Residents!$ID:$ID,1,Residents!$IE:$IE,0,Residents!$IF:$IF,1,Residents!$IG:$IG,$C235),"")</f>
        <v/>
      </c>
      <c r="O235" t="str">
        <f>IF(O$5,COUNTIFS(Residents!$G:$G,$A235,Residents!$ID:$ID,1,Residents!$IE:$IE,0,Residents!$IF:$IF,1,Residents!$IG:$IG,$C235),"")</f>
        <v/>
      </c>
      <c r="P235" t="str">
        <f>IF(P$5,COUNTIFS(Residents!$G:$G,$A235,Residents!$ID:$ID,1,Residents!$IE:$IE,0,Residents!$IF:$IF,1,Residents!$IG:$IG,$C235),"")</f>
        <v/>
      </c>
      <c r="Q235" t="str">
        <f>IF(Q$5,COUNTIFS(Residents!$G:$G,$A235,Residents!$ID:$ID,1,Residents!$IE:$IE,0,Residents!$IF:$IF,1,Residents!$IG:$IG,$C235),"")</f>
        <v/>
      </c>
      <c r="R235" t="str">
        <f>IF(R$5,COUNTIFS(Residents!$G:$G,$A235,Residents!$ID:$ID,1,Residents!$IE:$IE,0,Residents!$IF:$IF,1,Residents!$IG:$IG,$C235),"")</f>
        <v/>
      </c>
    </row>
    <row r="236" spans="1:18" ht="15">
      <c r="A236" t="s">
        <v>40</v>
      </c>
      <c r="B236" t="str">
        <f>"Number of individuals with MH dx only with "&amp;C236&amp;" PTM orders"</f>
        <v>Number of individuals with MH dx only with 1 PTM orders</v>
      </c>
      <c r="C236">
        <f aca="true" t="shared" si="40" ref="C236:C246">C232</f>
        <v>1</v>
      </c>
      <c r="E236" t="s">
        <v>465</v>
      </c>
      <c r="F236" t="str">
        <f>IF(F$5,COUNTIFS(Residents!$G:$G,$A236,Residents!$ID:$ID,1,Residents!$IE:$IE,0,Residents!$IF:$IF,1,Residents!$IG:$IG,$C236),"")</f>
        <v/>
      </c>
      <c r="G236" t="str">
        <f>IF(G$5,COUNTIFS(Residents!$G:$G,$A236,Residents!$ID:$ID,1,Residents!$IE:$IE,0,Residents!$IF:$IF,1,Residents!$IG:$IG,$C236),"")</f>
        <v/>
      </c>
      <c r="H236" t="str">
        <f>IF(H$5,COUNTIFS(Residents!$G:$G,$A236,Residents!$ID:$ID,1,Residents!$IE:$IE,0,Residents!$IF:$IF,1,Residents!$IG:$IG,$C236),"")</f>
        <v/>
      </c>
      <c r="I236" t="str">
        <f>IF(I$5,COUNTIFS(Residents!$G:$G,$A236,Residents!$ID:$ID,1,Residents!$IE:$IE,0,Residents!$IF:$IF,1,Residents!$IG:$IG,$C236),"")</f>
        <v/>
      </c>
      <c r="J236" t="str">
        <f>IF(J$5,COUNTIFS(Residents!$G:$G,$A236,Residents!$ID:$ID,1,Residents!$IE:$IE,0,Residents!$IF:$IF,1,Residents!$IG:$IG,$C236),"")</f>
        <v/>
      </c>
      <c r="K236" t="str">
        <f>IF(K$5,COUNTIFS(Residents!$G:$G,$A236,Residents!$ID:$ID,1,Residents!$IE:$IE,0,Residents!$IF:$IF,1,Residents!$IG:$IG,$C236),"")</f>
        <v/>
      </c>
      <c r="L236" t="str">
        <f>IF(L$5,COUNTIFS(Residents!$G:$G,$A236,Residents!$ID:$ID,1,Residents!$IE:$IE,0,Residents!$IF:$IF,1,Residents!$IG:$IG,$C236),"")</f>
        <v/>
      </c>
      <c r="M236" t="str">
        <f>IF(M$5,COUNTIFS(Residents!$G:$G,$A236,Residents!$ID:$ID,1,Residents!$IE:$IE,0,Residents!$IF:$IF,1,Residents!$IG:$IG,$C236),"")</f>
        <v/>
      </c>
      <c r="N236" t="str">
        <f>IF(N$5,COUNTIFS(Residents!$G:$G,$A236,Residents!$ID:$ID,1,Residents!$IE:$IE,0,Residents!$IF:$IF,1,Residents!$IG:$IG,$C236),"")</f>
        <v/>
      </c>
      <c r="O236" t="str">
        <f>IF(O$5,COUNTIFS(Residents!$G:$G,$A236,Residents!$ID:$ID,1,Residents!$IE:$IE,0,Residents!$IF:$IF,1,Residents!$IG:$IG,$C236),"")</f>
        <v/>
      </c>
      <c r="P236" t="str">
        <f>IF(P$5,COUNTIFS(Residents!$G:$G,$A236,Residents!$ID:$ID,1,Residents!$IE:$IE,0,Residents!$IF:$IF,1,Residents!$IG:$IG,$C236),"")</f>
        <v/>
      </c>
      <c r="Q236" t="str">
        <f>IF(Q$5,COUNTIFS(Residents!$G:$G,$A236,Residents!$ID:$ID,1,Residents!$IE:$IE,0,Residents!$IF:$IF,1,Residents!$IG:$IG,$C236),"")</f>
        <v/>
      </c>
      <c r="R236" t="str">
        <f>IF(R$5,COUNTIFS(Residents!$G:$G,$A236,Residents!$ID:$ID,1,Residents!$IE:$IE,0,Residents!$IF:$IF,1,Residents!$IG:$IG,$C236),"")</f>
        <v/>
      </c>
    </row>
    <row r="237" spans="1:18" ht="15">
      <c r="A237" t="s">
        <v>40</v>
      </c>
      <c r="B237" t="str">
        <f>"Number of individuals with MH dx only with "&amp;C237&amp;" PTM orders"</f>
        <v>Number of individuals with MH dx only with 2 PTM orders</v>
      </c>
      <c r="C237">
        <f t="shared" si="40"/>
        <v>2</v>
      </c>
      <c r="E237" t="s">
        <v>465</v>
      </c>
      <c r="F237" t="str">
        <f>IF(F$5,COUNTIFS(Residents!$G:$G,$A237,Residents!$ID:$ID,1,Residents!$IE:$IE,0,Residents!$IF:$IF,1,Residents!$IG:$IG,$C237),"")</f>
        <v/>
      </c>
      <c r="G237" t="str">
        <f>IF(G$5,COUNTIFS(Residents!$G:$G,$A237,Residents!$ID:$ID,1,Residents!$IE:$IE,0,Residents!$IF:$IF,1,Residents!$IG:$IG,$C237),"")</f>
        <v/>
      </c>
      <c r="H237" t="str">
        <f>IF(H$5,COUNTIFS(Residents!$G:$G,$A237,Residents!$ID:$ID,1,Residents!$IE:$IE,0,Residents!$IF:$IF,1,Residents!$IG:$IG,$C237),"")</f>
        <v/>
      </c>
      <c r="I237" t="str">
        <f>IF(I$5,COUNTIFS(Residents!$G:$G,$A237,Residents!$ID:$ID,1,Residents!$IE:$IE,0,Residents!$IF:$IF,1,Residents!$IG:$IG,$C237),"")</f>
        <v/>
      </c>
      <c r="J237" t="str">
        <f>IF(J$5,COUNTIFS(Residents!$G:$G,$A237,Residents!$ID:$ID,1,Residents!$IE:$IE,0,Residents!$IF:$IF,1,Residents!$IG:$IG,$C237),"")</f>
        <v/>
      </c>
      <c r="K237" t="str">
        <f>IF(K$5,COUNTIFS(Residents!$G:$G,$A237,Residents!$ID:$ID,1,Residents!$IE:$IE,0,Residents!$IF:$IF,1,Residents!$IG:$IG,$C237),"")</f>
        <v/>
      </c>
      <c r="L237" t="str">
        <f>IF(L$5,COUNTIFS(Residents!$G:$G,$A237,Residents!$ID:$ID,1,Residents!$IE:$IE,0,Residents!$IF:$IF,1,Residents!$IG:$IG,$C237),"")</f>
        <v/>
      </c>
      <c r="M237" t="str">
        <f>IF(M$5,COUNTIFS(Residents!$G:$G,$A237,Residents!$ID:$ID,1,Residents!$IE:$IE,0,Residents!$IF:$IF,1,Residents!$IG:$IG,$C237),"")</f>
        <v/>
      </c>
      <c r="N237" t="str">
        <f>IF(N$5,COUNTIFS(Residents!$G:$G,$A237,Residents!$ID:$ID,1,Residents!$IE:$IE,0,Residents!$IF:$IF,1,Residents!$IG:$IG,$C237),"")</f>
        <v/>
      </c>
      <c r="O237" t="str">
        <f>IF(O$5,COUNTIFS(Residents!$G:$G,$A237,Residents!$ID:$ID,1,Residents!$IE:$IE,0,Residents!$IF:$IF,1,Residents!$IG:$IG,$C237),"")</f>
        <v/>
      </c>
      <c r="P237" t="str">
        <f>IF(P$5,COUNTIFS(Residents!$G:$G,$A237,Residents!$ID:$ID,1,Residents!$IE:$IE,0,Residents!$IF:$IF,1,Residents!$IG:$IG,$C237),"")</f>
        <v/>
      </c>
      <c r="Q237" t="str">
        <f>IF(Q$5,COUNTIFS(Residents!$G:$G,$A237,Residents!$ID:$ID,1,Residents!$IE:$IE,0,Residents!$IF:$IF,1,Residents!$IG:$IG,$C237),"")</f>
        <v/>
      </c>
      <c r="R237" t="str">
        <f>IF(R$5,COUNTIFS(Residents!$G:$G,$A237,Residents!$ID:$ID,1,Residents!$IE:$IE,0,Residents!$IF:$IF,1,Residents!$IG:$IG,$C237),"")</f>
        <v/>
      </c>
    </row>
    <row r="238" spans="1:18" ht="15">
      <c r="A238" t="s">
        <v>40</v>
      </c>
      <c r="B238" t="str">
        <f>"Number of individuals with MH dx only with "&amp;C238&amp;" PTM orders"</f>
        <v>Number of individuals with MH dx only with &gt;=3 PTM orders</v>
      </c>
      <c r="C238" t="str">
        <f t="shared" si="40"/>
        <v>&gt;=3</v>
      </c>
      <c r="E238" t="s">
        <v>465</v>
      </c>
      <c r="F238" t="str">
        <f>IF(F$5,COUNTIFS(Residents!$G:$G,$A238,Residents!$ID:$ID,1,Residents!$IE:$IE,0,Residents!$IF:$IF,1,Residents!$IG:$IG,$C238),"")</f>
        <v/>
      </c>
      <c r="G238" t="str">
        <f>IF(G$5,COUNTIFS(Residents!$G:$G,$A238,Residents!$ID:$ID,1,Residents!$IE:$IE,0,Residents!$IF:$IF,1,Residents!$IG:$IG,$C238),"")</f>
        <v/>
      </c>
      <c r="H238" t="str">
        <f>IF(H$5,COUNTIFS(Residents!$G:$G,$A238,Residents!$ID:$ID,1,Residents!$IE:$IE,0,Residents!$IF:$IF,1,Residents!$IG:$IG,$C238),"")</f>
        <v/>
      </c>
      <c r="I238" t="str">
        <f>IF(I$5,COUNTIFS(Residents!$G:$G,$A238,Residents!$ID:$ID,1,Residents!$IE:$IE,0,Residents!$IF:$IF,1,Residents!$IG:$IG,$C238),"")</f>
        <v/>
      </c>
      <c r="J238" t="str">
        <f>IF(J$5,COUNTIFS(Residents!$G:$G,$A238,Residents!$ID:$ID,1,Residents!$IE:$IE,0,Residents!$IF:$IF,1,Residents!$IG:$IG,$C238),"")</f>
        <v/>
      </c>
      <c r="K238" t="str">
        <f>IF(K$5,COUNTIFS(Residents!$G:$G,$A238,Residents!$ID:$ID,1,Residents!$IE:$IE,0,Residents!$IF:$IF,1,Residents!$IG:$IG,$C238),"")</f>
        <v/>
      </c>
      <c r="L238" t="str">
        <f>IF(L$5,COUNTIFS(Residents!$G:$G,$A238,Residents!$ID:$ID,1,Residents!$IE:$IE,0,Residents!$IF:$IF,1,Residents!$IG:$IG,$C238),"")</f>
        <v/>
      </c>
      <c r="M238" t="str">
        <f>IF(M$5,COUNTIFS(Residents!$G:$G,$A238,Residents!$ID:$ID,1,Residents!$IE:$IE,0,Residents!$IF:$IF,1,Residents!$IG:$IG,$C238),"")</f>
        <v/>
      </c>
      <c r="N238" t="str">
        <f>IF(N$5,COUNTIFS(Residents!$G:$G,$A238,Residents!$ID:$ID,1,Residents!$IE:$IE,0,Residents!$IF:$IF,1,Residents!$IG:$IG,$C238),"")</f>
        <v/>
      </c>
      <c r="O238" t="str">
        <f>IF(O$5,COUNTIFS(Residents!$G:$G,$A238,Residents!$ID:$ID,1,Residents!$IE:$IE,0,Residents!$IF:$IF,1,Residents!$IG:$IG,$C238),"")</f>
        <v/>
      </c>
      <c r="P238" t="str">
        <f>IF(P$5,COUNTIFS(Residents!$G:$G,$A238,Residents!$ID:$ID,1,Residents!$IE:$IE,0,Residents!$IF:$IF,1,Residents!$IG:$IG,$C238),"")</f>
        <v/>
      </c>
      <c r="Q238" t="str">
        <f>IF(Q$5,COUNTIFS(Residents!$G:$G,$A238,Residents!$ID:$ID,1,Residents!$IE:$IE,0,Residents!$IF:$IF,1,Residents!$IG:$IG,$C238),"")</f>
        <v/>
      </c>
      <c r="R238" t="str">
        <f>IF(R$5,COUNTIFS(Residents!$G:$G,$A238,Residents!$ID:$ID,1,Residents!$IE:$IE,0,Residents!$IF:$IF,1,Residents!$IG:$IG,$C238),"")</f>
        <v/>
      </c>
    </row>
    <row r="239" spans="1:18" ht="15">
      <c r="A239" t="s">
        <v>40</v>
      </c>
      <c r="B239" t="str">
        <f>"Number of individuals with Both dx with "&amp;C239&amp;" PTM orders"</f>
        <v>Number of individuals with Both dx with 0 PTM orders</v>
      </c>
      <c r="C239">
        <f t="shared" si="40"/>
        <v>0</v>
      </c>
      <c r="E239" t="s">
        <v>465</v>
      </c>
      <c r="F239" t="str">
        <f>IF(F$5,COUNTIFS(Residents!$G:$G,$A239,Residents!$ID:$ID,1,Residents!$IE:$IE,1,Residents!$IF:$IF,1,Residents!$IG:$IG,$C239),"")</f>
        <v/>
      </c>
      <c r="G239" t="str">
        <f>IF(G$5,COUNTIFS(Residents!$G:$G,$A239,Residents!$ID:$ID,1,Residents!$IE:$IE,1,Residents!$IF:$IF,1,Residents!$IG:$IG,$C239),"")</f>
        <v/>
      </c>
      <c r="H239" t="str">
        <f>IF(H$5,COUNTIFS(Residents!$G:$G,$A239,Residents!$ID:$ID,1,Residents!$IE:$IE,1,Residents!$IF:$IF,1,Residents!$IG:$IG,$C239),"")</f>
        <v/>
      </c>
      <c r="I239" t="str">
        <f>IF(I$5,COUNTIFS(Residents!$G:$G,$A239,Residents!$ID:$ID,1,Residents!$IE:$IE,1,Residents!$IF:$IF,1,Residents!$IG:$IG,$C239),"")</f>
        <v/>
      </c>
      <c r="J239" t="str">
        <f>IF(J$5,COUNTIFS(Residents!$G:$G,$A239,Residents!$ID:$ID,1,Residents!$IE:$IE,1,Residents!$IF:$IF,1,Residents!$IG:$IG,$C239),"")</f>
        <v/>
      </c>
      <c r="K239" t="str">
        <f>IF(K$5,COUNTIFS(Residents!$G:$G,$A239,Residents!$ID:$ID,1,Residents!$IE:$IE,1,Residents!$IF:$IF,1,Residents!$IG:$IG,$C239),"")</f>
        <v/>
      </c>
      <c r="L239" t="str">
        <f>IF(L$5,COUNTIFS(Residents!$G:$G,$A239,Residents!$ID:$ID,1,Residents!$IE:$IE,1,Residents!$IF:$IF,1,Residents!$IG:$IG,$C239),"")</f>
        <v/>
      </c>
      <c r="M239" t="str">
        <f>IF(M$5,COUNTIFS(Residents!$G:$G,$A239,Residents!$ID:$ID,1,Residents!$IE:$IE,1,Residents!$IF:$IF,1,Residents!$IG:$IG,$C239),"")</f>
        <v/>
      </c>
      <c r="N239" t="str">
        <f>IF(N$5,COUNTIFS(Residents!$G:$G,$A239,Residents!$ID:$ID,1,Residents!$IE:$IE,1,Residents!$IF:$IF,1,Residents!$IG:$IG,$C239),"")</f>
        <v/>
      </c>
      <c r="O239" t="str">
        <f>IF(O$5,COUNTIFS(Residents!$G:$G,$A239,Residents!$ID:$ID,1,Residents!$IE:$IE,1,Residents!$IF:$IF,1,Residents!$IG:$IG,$C239),"")</f>
        <v/>
      </c>
      <c r="P239" t="str">
        <f>IF(P$5,COUNTIFS(Residents!$G:$G,$A239,Residents!$ID:$ID,1,Residents!$IE:$IE,1,Residents!$IF:$IF,1,Residents!$IG:$IG,$C239),"")</f>
        <v/>
      </c>
      <c r="Q239" t="str">
        <f>IF(Q$5,COUNTIFS(Residents!$G:$G,$A239,Residents!$ID:$ID,1,Residents!$IE:$IE,1,Residents!$IF:$IF,1,Residents!$IG:$IG,$C239),"")</f>
        <v/>
      </c>
      <c r="R239" t="str">
        <f>IF(R$5,COUNTIFS(Residents!$G:$G,$A239,Residents!$ID:$ID,1,Residents!$IE:$IE,1,Residents!$IF:$IF,1,Residents!$IG:$IG,$C239),"")</f>
        <v/>
      </c>
    </row>
    <row r="240" spans="1:18" ht="15">
      <c r="A240" t="s">
        <v>40</v>
      </c>
      <c r="B240" t="str">
        <f>"Number of individuals with Both dx with "&amp;C240&amp;" PTM orders"</f>
        <v>Number of individuals with Both dx with 1 PTM orders</v>
      </c>
      <c r="C240">
        <f t="shared" si="40"/>
        <v>1</v>
      </c>
      <c r="E240" t="s">
        <v>465</v>
      </c>
      <c r="F240" t="str">
        <f>IF(F$5,COUNTIFS(Residents!$G:$G,$A240,Residents!$ID:$ID,1,Residents!$IE:$IE,1,Residents!$IF:$IF,1,Residents!$IG:$IG,$C240),"")</f>
        <v/>
      </c>
      <c r="G240" t="str">
        <f>IF(G$5,COUNTIFS(Residents!$G:$G,$A240,Residents!$ID:$ID,1,Residents!$IE:$IE,1,Residents!$IF:$IF,1,Residents!$IG:$IG,$C240),"")</f>
        <v/>
      </c>
      <c r="H240" t="str">
        <f>IF(H$5,COUNTIFS(Residents!$G:$G,$A240,Residents!$ID:$ID,1,Residents!$IE:$IE,1,Residents!$IF:$IF,1,Residents!$IG:$IG,$C240),"")</f>
        <v/>
      </c>
      <c r="I240" t="str">
        <f>IF(I$5,COUNTIFS(Residents!$G:$G,$A240,Residents!$ID:$ID,1,Residents!$IE:$IE,1,Residents!$IF:$IF,1,Residents!$IG:$IG,$C240),"")</f>
        <v/>
      </c>
      <c r="J240" t="str">
        <f>IF(J$5,COUNTIFS(Residents!$G:$G,$A240,Residents!$ID:$ID,1,Residents!$IE:$IE,1,Residents!$IF:$IF,1,Residents!$IG:$IG,$C240),"")</f>
        <v/>
      </c>
      <c r="K240" t="str">
        <f>IF(K$5,COUNTIFS(Residents!$G:$G,$A240,Residents!$ID:$ID,1,Residents!$IE:$IE,1,Residents!$IF:$IF,1,Residents!$IG:$IG,$C240),"")</f>
        <v/>
      </c>
      <c r="L240" t="str">
        <f>IF(L$5,COUNTIFS(Residents!$G:$G,$A240,Residents!$ID:$ID,1,Residents!$IE:$IE,1,Residents!$IF:$IF,1,Residents!$IG:$IG,$C240),"")</f>
        <v/>
      </c>
      <c r="M240" t="str">
        <f>IF(M$5,COUNTIFS(Residents!$G:$G,$A240,Residents!$ID:$ID,1,Residents!$IE:$IE,1,Residents!$IF:$IF,1,Residents!$IG:$IG,$C240),"")</f>
        <v/>
      </c>
      <c r="N240" t="str">
        <f>IF(N$5,COUNTIFS(Residents!$G:$G,$A240,Residents!$ID:$ID,1,Residents!$IE:$IE,1,Residents!$IF:$IF,1,Residents!$IG:$IG,$C240),"")</f>
        <v/>
      </c>
      <c r="O240" t="str">
        <f>IF(O$5,COUNTIFS(Residents!$G:$G,$A240,Residents!$ID:$ID,1,Residents!$IE:$IE,1,Residents!$IF:$IF,1,Residents!$IG:$IG,$C240),"")</f>
        <v/>
      </c>
      <c r="P240" t="str">
        <f>IF(P$5,COUNTIFS(Residents!$G:$G,$A240,Residents!$ID:$ID,1,Residents!$IE:$IE,1,Residents!$IF:$IF,1,Residents!$IG:$IG,$C240),"")</f>
        <v/>
      </c>
      <c r="Q240" t="str">
        <f>IF(Q$5,COUNTIFS(Residents!$G:$G,$A240,Residents!$ID:$ID,1,Residents!$IE:$IE,1,Residents!$IF:$IF,1,Residents!$IG:$IG,$C240),"")</f>
        <v/>
      </c>
      <c r="R240" t="str">
        <f>IF(R$5,COUNTIFS(Residents!$G:$G,$A240,Residents!$ID:$ID,1,Residents!$IE:$IE,1,Residents!$IF:$IF,1,Residents!$IG:$IG,$C240),"")</f>
        <v/>
      </c>
    </row>
    <row r="241" spans="1:18" ht="15">
      <c r="A241" t="s">
        <v>40</v>
      </c>
      <c r="B241" t="str">
        <f>"Number of individuals with Both dx with "&amp;C241&amp;" PTM orders"</f>
        <v>Number of individuals with Both dx with 2 PTM orders</v>
      </c>
      <c r="C241">
        <f t="shared" si="40"/>
        <v>2</v>
      </c>
      <c r="E241" t="s">
        <v>465</v>
      </c>
      <c r="F241" t="str">
        <f>IF(F$5,COUNTIFS(Residents!$G:$G,$A241,Residents!$ID:$ID,1,Residents!$IE:$IE,1,Residents!$IF:$IF,1,Residents!$IG:$IG,$C241),"")</f>
        <v/>
      </c>
      <c r="G241" t="str">
        <f>IF(G$5,COUNTIFS(Residents!$G:$G,$A241,Residents!$ID:$ID,1,Residents!$IE:$IE,1,Residents!$IF:$IF,1,Residents!$IG:$IG,$C241),"")</f>
        <v/>
      </c>
      <c r="H241" t="str">
        <f>IF(H$5,COUNTIFS(Residents!$G:$G,$A241,Residents!$ID:$ID,1,Residents!$IE:$IE,1,Residents!$IF:$IF,1,Residents!$IG:$IG,$C241),"")</f>
        <v/>
      </c>
      <c r="I241" t="str">
        <f>IF(I$5,COUNTIFS(Residents!$G:$G,$A241,Residents!$ID:$ID,1,Residents!$IE:$IE,1,Residents!$IF:$IF,1,Residents!$IG:$IG,$C241),"")</f>
        <v/>
      </c>
      <c r="J241" t="str">
        <f>IF(J$5,COUNTIFS(Residents!$G:$G,$A241,Residents!$ID:$ID,1,Residents!$IE:$IE,1,Residents!$IF:$IF,1,Residents!$IG:$IG,$C241),"")</f>
        <v/>
      </c>
      <c r="K241" t="str">
        <f>IF(K$5,COUNTIFS(Residents!$G:$G,$A241,Residents!$ID:$ID,1,Residents!$IE:$IE,1,Residents!$IF:$IF,1,Residents!$IG:$IG,$C241),"")</f>
        <v/>
      </c>
      <c r="L241" t="str">
        <f>IF(L$5,COUNTIFS(Residents!$G:$G,$A241,Residents!$ID:$ID,1,Residents!$IE:$IE,1,Residents!$IF:$IF,1,Residents!$IG:$IG,$C241),"")</f>
        <v/>
      </c>
      <c r="M241" t="str">
        <f>IF(M$5,COUNTIFS(Residents!$G:$G,$A241,Residents!$ID:$ID,1,Residents!$IE:$IE,1,Residents!$IF:$IF,1,Residents!$IG:$IG,$C241),"")</f>
        <v/>
      </c>
      <c r="N241" t="str">
        <f>IF(N$5,COUNTIFS(Residents!$G:$G,$A241,Residents!$ID:$ID,1,Residents!$IE:$IE,1,Residents!$IF:$IF,1,Residents!$IG:$IG,$C241),"")</f>
        <v/>
      </c>
      <c r="O241" t="str">
        <f>IF(O$5,COUNTIFS(Residents!$G:$G,$A241,Residents!$ID:$ID,1,Residents!$IE:$IE,1,Residents!$IF:$IF,1,Residents!$IG:$IG,$C241),"")</f>
        <v/>
      </c>
      <c r="P241" t="str">
        <f>IF(P$5,COUNTIFS(Residents!$G:$G,$A241,Residents!$ID:$ID,1,Residents!$IE:$IE,1,Residents!$IF:$IF,1,Residents!$IG:$IG,$C241),"")</f>
        <v/>
      </c>
      <c r="Q241" t="str">
        <f>IF(Q$5,COUNTIFS(Residents!$G:$G,$A241,Residents!$ID:$ID,1,Residents!$IE:$IE,1,Residents!$IF:$IF,1,Residents!$IG:$IG,$C241),"")</f>
        <v/>
      </c>
      <c r="R241" t="str">
        <f>IF(R$5,COUNTIFS(Residents!$G:$G,$A241,Residents!$ID:$ID,1,Residents!$IE:$IE,1,Residents!$IF:$IF,1,Residents!$IG:$IG,$C241),"")</f>
        <v/>
      </c>
    </row>
    <row r="242" spans="1:18" ht="15">
      <c r="A242" t="s">
        <v>40</v>
      </c>
      <c r="B242" t="str">
        <f>"Number of individuals with Both dx with "&amp;C242&amp;" PTM orders"</f>
        <v>Number of individuals with Both dx with &gt;=3 PTM orders</v>
      </c>
      <c r="C242" t="str">
        <f t="shared" si="40"/>
        <v>&gt;=3</v>
      </c>
      <c r="E242" t="s">
        <v>465</v>
      </c>
      <c r="F242" t="str">
        <f>IF(F$5,COUNTIFS(Residents!$G:$G,$A242,Residents!$ID:$ID,1,Residents!$IE:$IE,1,Residents!$IF:$IF,1,Residents!$IG:$IG,$C242),"")</f>
        <v/>
      </c>
      <c r="G242" t="str">
        <f>IF(G$5,COUNTIFS(Residents!$G:$G,$A242,Residents!$ID:$ID,1,Residents!$IE:$IE,1,Residents!$IF:$IF,1,Residents!$IG:$IG,$C242),"")</f>
        <v/>
      </c>
      <c r="H242" t="str">
        <f>IF(H$5,COUNTIFS(Residents!$G:$G,$A242,Residents!$ID:$ID,1,Residents!$IE:$IE,1,Residents!$IF:$IF,1,Residents!$IG:$IG,$C242),"")</f>
        <v/>
      </c>
      <c r="I242" t="str">
        <f>IF(I$5,COUNTIFS(Residents!$G:$G,$A242,Residents!$ID:$ID,1,Residents!$IE:$IE,1,Residents!$IF:$IF,1,Residents!$IG:$IG,$C242),"")</f>
        <v/>
      </c>
      <c r="J242" t="str">
        <f>IF(J$5,COUNTIFS(Residents!$G:$G,$A242,Residents!$ID:$ID,1,Residents!$IE:$IE,1,Residents!$IF:$IF,1,Residents!$IG:$IG,$C242),"")</f>
        <v/>
      </c>
      <c r="K242" t="str">
        <f>IF(K$5,COUNTIFS(Residents!$G:$G,$A242,Residents!$ID:$ID,1,Residents!$IE:$IE,1,Residents!$IF:$IF,1,Residents!$IG:$IG,$C242),"")</f>
        <v/>
      </c>
      <c r="L242" t="str">
        <f>IF(L$5,COUNTIFS(Residents!$G:$G,$A242,Residents!$ID:$ID,1,Residents!$IE:$IE,1,Residents!$IF:$IF,1,Residents!$IG:$IG,$C242),"")</f>
        <v/>
      </c>
      <c r="M242" t="str">
        <f>IF(M$5,COUNTIFS(Residents!$G:$G,$A242,Residents!$ID:$ID,1,Residents!$IE:$IE,1,Residents!$IF:$IF,1,Residents!$IG:$IG,$C242),"")</f>
        <v/>
      </c>
      <c r="N242" t="str">
        <f>IF(N$5,COUNTIFS(Residents!$G:$G,$A242,Residents!$ID:$ID,1,Residents!$IE:$IE,1,Residents!$IF:$IF,1,Residents!$IG:$IG,$C242),"")</f>
        <v/>
      </c>
      <c r="O242" t="str">
        <f>IF(O$5,COUNTIFS(Residents!$G:$G,$A242,Residents!$ID:$ID,1,Residents!$IE:$IE,1,Residents!$IF:$IF,1,Residents!$IG:$IG,$C242),"")</f>
        <v/>
      </c>
      <c r="P242" t="str">
        <f>IF(P$5,COUNTIFS(Residents!$G:$G,$A242,Residents!$ID:$ID,1,Residents!$IE:$IE,1,Residents!$IF:$IF,1,Residents!$IG:$IG,$C242),"")</f>
        <v/>
      </c>
      <c r="Q242" t="str">
        <f>IF(Q$5,COUNTIFS(Residents!$G:$G,$A242,Residents!$ID:$ID,1,Residents!$IE:$IE,1,Residents!$IF:$IF,1,Residents!$IG:$IG,$C242),"")</f>
        <v/>
      </c>
      <c r="R242" t="str">
        <f>IF(R$5,COUNTIFS(Residents!$G:$G,$A242,Residents!$ID:$ID,1,Residents!$IE:$IE,1,Residents!$IF:$IF,1,Residents!$IG:$IG,$C242),"")</f>
        <v/>
      </c>
    </row>
    <row r="243" spans="1:18" ht="15">
      <c r="A243" t="s">
        <v>40</v>
      </c>
      <c r="B243" t="str">
        <f>"Number of individuals with Neither dx with "&amp;C243&amp;" PTM orders"</f>
        <v>Number of individuals with Neither dx with 0 PTM orders</v>
      </c>
      <c r="C243">
        <f t="shared" si="40"/>
        <v>0</v>
      </c>
      <c r="E243" t="s">
        <v>465</v>
      </c>
      <c r="F243" t="str">
        <f>IF(F$5,COUNTIFS(Residents!$G:$G,$A243,Residents!$ID:$ID,1,Residents!$IE:$IE,0,Residents!$IF:$IF,0,Residents!$IG:$IG,$C243),"")</f>
        <v/>
      </c>
      <c r="G243" t="str">
        <f>IF(G$5,COUNTIFS(Residents!$G:$G,$A243,Residents!$ID:$ID,1,Residents!$IE:$IE,0,Residents!$IF:$IF,0,Residents!$IG:$IG,$C243),"")</f>
        <v/>
      </c>
      <c r="H243" t="str">
        <f>IF(H$5,COUNTIFS(Residents!$G:$G,$A243,Residents!$ID:$ID,1,Residents!$IE:$IE,0,Residents!$IF:$IF,0,Residents!$IG:$IG,$C243),"")</f>
        <v/>
      </c>
      <c r="I243" t="str">
        <f>IF(I$5,COUNTIFS(Residents!$G:$G,$A243,Residents!$ID:$ID,1,Residents!$IE:$IE,0,Residents!$IF:$IF,0,Residents!$IG:$IG,$C243),"")</f>
        <v/>
      </c>
      <c r="J243" t="str">
        <f>IF(J$5,COUNTIFS(Residents!$G:$G,$A243,Residents!$ID:$ID,1,Residents!$IE:$IE,0,Residents!$IF:$IF,0,Residents!$IG:$IG,$C243),"")</f>
        <v/>
      </c>
      <c r="K243" t="str">
        <f>IF(K$5,COUNTIFS(Residents!$G:$G,$A243,Residents!$ID:$ID,1,Residents!$IE:$IE,0,Residents!$IF:$IF,0,Residents!$IG:$IG,$C243),"")</f>
        <v/>
      </c>
      <c r="L243" t="str">
        <f>IF(L$5,COUNTIFS(Residents!$G:$G,$A243,Residents!$ID:$ID,1,Residents!$IE:$IE,0,Residents!$IF:$IF,0,Residents!$IG:$IG,$C243),"")</f>
        <v/>
      </c>
      <c r="M243" t="str">
        <f>IF(M$5,COUNTIFS(Residents!$G:$G,$A243,Residents!$ID:$ID,1,Residents!$IE:$IE,0,Residents!$IF:$IF,0,Residents!$IG:$IG,$C243),"")</f>
        <v/>
      </c>
      <c r="N243" t="str">
        <f>IF(N$5,COUNTIFS(Residents!$G:$G,$A243,Residents!$ID:$ID,1,Residents!$IE:$IE,0,Residents!$IF:$IF,0,Residents!$IG:$IG,$C243),"")</f>
        <v/>
      </c>
      <c r="O243" t="str">
        <f>IF(O$5,COUNTIFS(Residents!$G:$G,$A243,Residents!$ID:$ID,1,Residents!$IE:$IE,0,Residents!$IF:$IF,0,Residents!$IG:$IG,$C243),"")</f>
        <v/>
      </c>
      <c r="P243" t="str">
        <f>IF(P$5,COUNTIFS(Residents!$G:$G,$A243,Residents!$ID:$ID,1,Residents!$IE:$IE,0,Residents!$IF:$IF,0,Residents!$IG:$IG,$C243),"")</f>
        <v/>
      </c>
      <c r="Q243" t="str">
        <f>IF(Q$5,COUNTIFS(Residents!$G:$G,$A243,Residents!$ID:$ID,1,Residents!$IE:$IE,0,Residents!$IF:$IF,0,Residents!$IG:$IG,$C243),"")</f>
        <v/>
      </c>
      <c r="R243" t="str">
        <f>IF(R$5,COUNTIFS(Residents!$G:$G,$A243,Residents!$ID:$ID,1,Residents!$IE:$IE,0,Residents!$IF:$IF,0,Residents!$IG:$IG,$C243),"")</f>
        <v/>
      </c>
    </row>
    <row r="244" spans="1:18" ht="15">
      <c r="A244" t="s">
        <v>40</v>
      </c>
      <c r="B244" t="str">
        <f>"Number of individuals with Neither dx with "&amp;C244&amp;" PTM orders"</f>
        <v>Number of individuals with Neither dx with 1 PTM orders</v>
      </c>
      <c r="C244">
        <f t="shared" si="40"/>
        <v>1</v>
      </c>
      <c r="E244" t="s">
        <v>465</v>
      </c>
      <c r="F244" t="str">
        <f>IF(F$5,COUNTIFS(Residents!$G:$G,$A244,Residents!$ID:$ID,1,Residents!$IE:$IE,0,Residents!$IF:$IF,0,Residents!$IG:$IG,$C244),"")</f>
        <v/>
      </c>
      <c r="G244" t="str">
        <f>IF(G$5,COUNTIFS(Residents!$G:$G,$A244,Residents!$ID:$ID,1,Residents!$IE:$IE,0,Residents!$IF:$IF,0,Residents!$IG:$IG,$C244),"")</f>
        <v/>
      </c>
      <c r="H244" t="str">
        <f>IF(H$5,COUNTIFS(Residents!$G:$G,$A244,Residents!$ID:$ID,1,Residents!$IE:$IE,0,Residents!$IF:$IF,0,Residents!$IG:$IG,$C244),"")</f>
        <v/>
      </c>
      <c r="I244" t="str">
        <f>IF(I$5,COUNTIFS(Residents!$G:$G,$A244,Residents!$ID:$ID,1,Residents!$IE:$IE,0,Residents!$IF:$IF,0,Residents!$IG:$IG,$C244),"")</f>
        <v/>
      </c>
      <c r="J244" t="str">
        <f>IF(J$5,COUNTIFS(Residents!$G:$G,$A244,Residents!$ID:$ID,1,Residents!$IE:$IE,0,Residents!$IF:$IF,0,Residents!$IG:$IG,$C244),"")</f>
        <v/>
      </c>
      <c r="K244" t="str">
        <f>IF(K$5,COUNTIFS(Residents!$G:$G,$A244,Residents!$ID:$ID,1,Residents!$IE:$IE,0,Residents!$IF:$IF,0,Residents!$IG:$IG,$C244),"")</f>
        <v/>
      </c>
      <c r="L244" t="str">
        <f>IF(L$5,COUNTIFS(Residents!$G:$G,$A244,Residents!$ID:$ID,1,Residents!$IE:$IE,0,Residents!$IF:$IF,0,Residents!$IG:$IG,$C244),"")</f>
        <v/>
      </c>
      <c r="M244" t="str">
        <f>IF(M$5,COUNTIFS(Residents!$G:$G,$A244,Residents!$ID:$ID,1,Residents!$IE:$IE,0,Residents!$IF:$IF,0,Residents!$IG:$IG,$C244),"")</f>
        <v/>
      </c>
      <c r="N244" t="str">
        <f>IF(N$5,COUNTIFS(Residents!$G:$G,$A244,Residents!$ID:$ID,1,Residents!$IE:$IE,0,Residents!$IF:$IF,0,Residents!$IG:$IG,$C244),"")</f>
        <v/>
      </c>
      <c r="O244" t="str">
        <f>IF(O$5,COUNTIFS(Residents!$G:$G,$A244,Residents!$ID:$ID,1,Residents!$IE:$IE,0,Residents!$IF:$IF,0,Residents!$IG:$IG,$C244),"")</f>
        <v/>
      </c>
      <c r="P244" t="str">
        <f>IF(P$5,COUNTIFS(Residents!$G:$G,$A244,Residents!$ID:$ID,1,Residents!$IE:$IE,0,Residents!$IF:$IF,0,Residents!$IG:$IG,$C244),"")</f>
        <v/>
      </c>
      <c r="Q244" t="str">
        <f>IF(Q$5,COUNTIFS(Residents!$G:$G,$A244,Residents!$ID:$ID,1,Residents!$IE:$IE,0,Residents!$IF:$IF,0,Residents!$IG:$IG,$C244),"")</f>
        <v/>
      </c>
      <c r="R244" t="str">
        <f>IF(R$5,COUNTIFS(Residents!$G:$G,$A244,Residents!$ID:$ID,1,Residents!$IE:$IE,0,Residents!$IF:$IF,0,Residents!$IG:$IG,$C244),"")</f>
        <v/>
      </c>
    </row>
    <row r="245" spans="1:18" ht="15">
      <c r="A245" t="s">
        <v>40</v>
      </c>
      <c r="B245" t="str">
        <f>"Number of individuals with Neither dx with "&amp;C245&amp;" PTM orders"</f>
        <v>Number of individuals with Neither dx with 2 PTM orders</v>
      </c>
      <c r="C245">
        <f t="shared" si="40"/>
        <v>2</v>
      </c>
      <c r="E245" t="s">
        <v>465</v>
      </c>
      <c r="F245" t="str">
        <f>IF(F$5,COUNTIFS(Residents!$G:$G,$A245,Residents!$ID:$ID,1,Residents!$IE:$IE,0,Residents!$IF:$IF,0,Residents!$IG:$IG,$C245),"")</f>
        <v/>
      </c>
      <c r="G245" t="str">
        <f>IF(G$5,COUNTIFS(Residents!$G:$G,$A245,Residents!$ID:$ID,1,Residents!$IE:$IE,0,Residents!$IF:$IF,0,Residents!$IG:$IG,$C245),"")</f>
        <v/>
      </c>
      <c r="H245" t="str">
        <f>IF(H$5,COUNTIFS(Residents!$G:$G,$A245,Residents!$ID:$ID,1,Residents!$IE:$IE,0,Residents!$IF:$IF,0,Residents!$IG:$IG,$C245),"")</f>
        <v/>
      </c>
      <c r="I245" t="str">
        <f>IF(I$5,COUNTIFS(Residents!$G:$G,$A245,Residents!$ID:$ID,1,Residents!$IE:$IE,0,Residents!$IF:$IF,0,Residents!$IG:$IG,$C245),"")</f>
        <v/>
      </c>
      <c r="J245" t="str">
        <f>IF(J$5,COUNTIFS(Residents!$G:$G,$A245,Residents!$ID:$ID,1,Residents!$IE:$IE,0,Residents!$IF:$IF,0,Residents!$IG:$IG,$C245),"")</f>
        <v/>
      </c>
      <c r="K245" t="str">
        <f>IF(K$5,COUNTIFS(Residents!$G:$G,$A245,Residents!$ID:$ID,1,Residents!$IE:$IE,0,Residents!$IF:$IF,0,Residents!$IG:$IG,$C245),"")</f>
        <v/>
      </c>
      <c r="L245" t="str">
        <f>IF(L$5,COUNTIFS(Residents!$G:$G,$A245,Residents!$ID:$ID,1,Residents!$IE:$IE,0,Residents!$IF:$IF,0,Residents!$IG:$IG,$C245),"")</f>
        <v/>
      </c>
      <c r="M245" t="str">
        <f>IF(M$5,COUNTIFS(Residents!$G:$G,$A245,Residents!$ID:$ID,1,Residents!$IE:$IE,0,Residents!$IF:$IF,0,Residents!$IG:$IG,$C245),"")</f>
        <v/>
      </c>
      <c r="N245" t="str">
        <f>IF(N$5,COUNTIFS(Residents!$G:$G,$A245,Residents!$ID:$ID,1,Residents!$IE:$IE,0,Residents!$IF:$IF,0,Residents!$IG:$IG,$C245),"")</f>
        <v/>
      </c>
      <c r="O245" t="str">
        <f>IF(O$5,COUNTIFS(Residents!$G:$G,$A245,Residents!$ID:$ID,1,Residents!$IE:$IE,0,Residents!$IF:$IF,0,Residents!$IG:$IG,$C245),"")</f>
        <v/>
      </c>
      <c r="P245" t="str">
        <f>IF(P$5,COUNTIFS(Residents!$G:$G,$A245,Residents!$ID:$ID,1,Residents!$IE:$IE,0,Residents!$IF:$IF,0,Residents!$IG:$IG,$C245),"")</f>
        <v/>
      </c>
      <c r="Q245" t="str">
        <f>IF(Q$5,COUNTIFS(Residents!$G:$G,$A245,Residents!$ID:$ID,1,Residents!$IE:$IE,0,Residents!$IF:$IF,0,Residents!$IG:$IG,$C245),"")</f>
        <v/>
      </c>
      <c r="R245" t="str">
        <f>IF(R$5,COUNTIFS(Residents!$G:$G,$A245,Residents!$ID:$ID,1,Residents!$IE:$IE,0,Residents!$IF:$IF,0,Residents!$IG:$IG,$C245),"")</f>
        <v/>
      </c>
    </row>
    <row r="246" spans="1:18" ht="15">
      <c r="A246" t="s">
        <v>40</v>
      </c>
      <c r="B246" t="str">
        <f>"Number of individuals with Neither dx with "&amp;C246&amp;" PTM orders"</f>
        <v>Number of individuals with Neither dx with &gt;=3 PTM orders</v>
      </c>
      <c r="C246" t="str">
        <f t="shared" si="40"/>
        <v>&gt;=3</v>
      </c>
      <c r="E246" t="s">
        <v>465</v>
      </c>
      <c r="F246" t="str">
        <f>IF(F$5,COUNTIFS(Residents!$G:$G,$A246,Residents!$ID:$ID,1,Residents!$IE:$IE,0,Residents!$IF:$IF,0,Residents!$IG:$IG,$C246),"")</f>
        <v/>
      </c>
      <c r="G246" t="str">
        <f>IF(G$5,COUNTIFS(Residents!$G:$G,$A246,Residents!$ID:$ID,1,Residents!$IE:$IE,0,Residents!$IF:$IF,0,Residents!$IG:$IG,$C246),"")</f>
        <v/>
      </c>
      <c r="H246" t="str">
        <f>IF(H$5,COUNTIFS(Residents!$G:$G,$A246,Residents!$ID:$ID,1,Residents!$IE:$IE,0,Residents!$IF:$IF,0,Residents!$IG:$IG,$C246),"")</f>
        <v/>
      </c>
      <c r="I246" t="str">
        <f>IF(I$5,COUNTIFS(Residents!$G:$G,$A246,Residents!$ID:$ID,1,Residents!$IE:$IE,0,Residents!$IF:$IF,0,Residents!$IG:$IG,$C246),"")</f>
        <v/>
      </c>
      <c r="J246" t="str">
        <f>IF(J$5,COUNTIFS(Residents!$G:$G,$A246,Residents!$ID:$ID,1,Residents!$IE:$IE,0,Residents!$IF:$IF,0,Residents!$IG:$IG,$C246),"")</f>
        <v/>
      </c>
      <c r="K246" t="str">
        <f>IF(K$5,COUNTIFS(Residents!$G:$G,$A246,Residents!$ID:$ID,1,Residents!$IE:$IE,0,Residents!$IF:$IF,0,Residents!$IG:$IG,$C246),"")</f>
        <v/>
      </c>
      <c r="L246" t="str">
        <f>IF(L$5,COUNTIFS(Residents!$G:$G,$A246,Residents!$ID:$ID,1,Residents!$IE:$IE,0,Residents!$IF:$IF,0,Residents!$IG:$IG,$C246),"")</f>
        <v/>
      </c>
      <c r="M246" t="str">
        <f>IF(M$5,COUNTIFS(Residents!$G:$G,$A246,Residents!$ID:$ID,1,Residents!$IE:$IE,0,Residents!$IF:$IF,0,Residents!$IG:$IG,$C246),"")</f>
        <v/>
      </c>
      <c r="N246" t="str">
        <f>IF(N$5,COUNTIFS(Residents!$G:$G,$A246,Residents!$ID:$ID,1,Residents!$IE:$IE,0,Residents!$IF:$IF,0,Residents!$IG:$IG,$C246),"")</f>
        <v/>
      </c>
      <c r="O246" t="str">
        <f>IF(O$5,COUNTIFS(Residents!$G:$G,$A246,Residents!$ID:$ID,1,Residents!$IE:$IE,0,Residents!$IF:$IF,0,Residents!$IG:$IG,$C246),"")</f>
        <v/>
      </c>
      <c r="P246" t="str">
        <f>IF(P$5,COUNTIFS(Residents!$G:$G,$A246,Residents!$ID:$ID,1,Residents!$IE:$IE,0,Residents!$IF:$IF,0,Residents!$IG:$IG,$C246),"")</f>
        <v/>
      </c>
      <c r="Q246" t="str">
        <f>IF(Q$5,COUNTIFS(Residents!$G:$G,$A246,Residents!$ID:$ID,1,Residents!$IE:$IE,0,Residents!$IF:$IF,0,Residents!$IG:$IG,$C246),"")</f>
        <v/>
      </c>
      <c r="R246" t="str">
        <f>IF(R$5,COUNTIFS(Residents!$G:$G,$A246,Residents!$ID:$ID,1,Residents!$IE:$IE,0,Residents!$IF:$IF,0,Residents!$IG:$IG,$C246),"")</f>
        <v/>
      </c>
    </row>
    <row r="247" spans="1:18" ht="15">
      <c r="A247" t="s">
        <v>40</v>
      </c>
      <c r="B247" t="str">
        <f>"Number of medications prescribed to individuals living with dementia for "&amp;C247</f>
        <v>Number of medications prescribed to individuals living with dementia for ExpWalking</v>
      </c>
      <c r="C247" t="s">
        <v>244</v>
      </c>
      <c r="D247" t="str">
        <f>IF($S$3,SUBSTITUTE(ADDRESS(1,MATCH($C247,Medications!$1:$1,0),4),"1",""),"")</f>
        <v/>
      </c>
      <c r="E247" t="s">
        <v>466</v>
      </c>
      <c r="F247" t="str">
        <f ca="1">IF(F$5,COUNTIFS(Medications!$AN:$AN,ReportAndOutcomeHistory!$A247,Medications!$AP:$AP,1,Medications!$AS:$AS,1,INDIRECT("Medications!$"&amp;$D247&amp;":$"&amp;$D247),1)+ROW()/100000,"")</f>
        <v/>
      </c>
      <c r="G247" t="str">
        <f ca="1">IF(G$5,COUNTIFS(Medications!$AN:$AN,ReportAndOutcomeHistory!$A247,Medications!$AP:$AP,1,Medications!$AS:$AS,1,INDIRECT("Medications!$"&amp;$D247&amp;":$"&amp;$D247),1)+ROW()/100000,"")</f>
        <v/>
      </c>
      <c r="H247" t="str">
        <f ca="1">IF(H$5,COUNTIFS(Medications!$AN:$AN,ReportAndOutcomeHistory!$A247,Medications!$AP:$AP,1,Medications!$AS:$AS,1,INDIRECT("Medications!$"&amp;$D247&amp;":$"&amp;$D247),1)+ROW()/100000,"")</f>
        <v/>
      </c>
      <c r="I247" t="str">
        <f ca="1">IF(I$5,COUNTIFS(Medications!$AN:$AN,ReportAndOutcomeHistory!$A247,Medications!$AP:$AP,1,Medications!$AS:$AS,1,INDIRECT("Medications!$"&amp;$D247&amp;":$"&amp;$D247),1)+ROW()/100000,"")</f>
        <v/>
      </c>
      <c r="J247" t="str">
        <f ca="1">IF(J$5,COUNTIFS(Medications!$AN:$AN,ReportAndOutcomeHistory!$A247,Medications!$AP:$AP,1,Medications!$AS:$AS,1,INDIRECT("Medications!$"&amp;$D247&amp;":$"&amp;$D247),1)+ROW()/100000,"")</f>
        <v/>
      </c>
      <c r="K247" t="str">
        <f ca="1">IF(K$5,COUNTIFS(Medications!$AN:$AN,ReportAndOutcomeHistory!$A247,Medications!$AP:$AP,1,Medications!$AS:$AS,1,INDIRECT("Medications!$"&amp;$D247&amp;":$"&amp;$D247),1)+ROW()/100000,"")</f>
        <v/>
      </c>
      <c r="L247" t="str">
        <f ca="1">IF(L$5,COUNTIFS(Medications!$AN:$AN,ReportAndOutcomeHistory!$A247,Medications!$AP:$AP,1,Medications!$AS:$AS,1,INDIRECT("Medications!$"&amp;$D247&amp;":$"&amp;$D247),1)+ROW()/100000,"")</f>
        <v/>
      </c>
      <c r="M247" t="str">
        <f ca="1">IF(M$5,COUNTIFS(Medications!$AN:$AN,ReportAndOutcomeHistory!$A247,Medications!$AP:$AP,1,Medications!$AS:$AS,1,INDIRECT("Medications!$"&amp;$D247&amp;":$"&amp;$D247),1)+ROW()/100000,"")</f>
        <v/>
      </c>
      <c r="N247" t="str">
        <f ca="1">IF(N$5,COUNTIFS(Medications!$AN:$AN,ReportAndOutcomeHistory!$A247,Medications!$AP:$AP,1,Medications!$AS:$AS,1,INDIRECT("Medications!$"&amp;$D247&amp;":$"&amp;$D247),1)+ROW()/100000,"")</f>
        <v/>
      </c>
      <c r="O247" t="str">
        <f ca="1">IF(O$5,COUNTIFS(Medications!$AN:$AN,ReportAndOutcomeHistory!$A247,Medications!$AP:$AP,1,Medications!$AS:$AS,1,INDIRECT("Medications!$"&amp;$D247&amp;":$"&amp;$D247),1)+ROW()/100000,"")</f>
        <v/>
      </c>
      <c r="P247" t="str">
        <f ca="1">IF(P$5,COUNTIFS(Medications!$AN:$AN,ReportAndOutcomeHistory!$A247,Medications!$AP:$AP,1,Medications!$AS:$AS,1,INDIRECT("Medications!$"&amp;$D247&amp;":$"&amp;$D247),1)+ROW()/100000,"")</f>
        <v/>
      </c>
      <c r="Q247" t="str">
        <f ca="1">IF(Q$5,COUNTIFS(Medications!$AN:$AN,ReportAndOutcomeHistory!$A247,Medications!$AP:$AP,1,Medications!$AS:$AS,1,INDIRECT("Medications!$"&amp;$D247&amp;":$"&amp;$D247),1)+ROW()/100000,"")</f>
        <v/>
      </c>
      <c r="R247" t="str">
        <f ca="1">IF(R$5,COUNTIFS(Medications!$AN:$AN,ReportAndOutcomeHistory!$A247,Medications!$AP:$AP,1,Medications!$AS:$AS,1,INDIRECT("Medications!$"&amp;$D247&amp;":$"&amp;$D247),1)+ROW()/100000,"")</f>
        <v/>
      </c>
    </row>
    <row r="248" spans="1:18" ht="15">
      <c r="A248" t="s">
        <v>40</v>
      </c>
      <c r="B248" t="str">
        <f>"Number of medications prescribed to individuals living with dementia for "&amp;C248</f>
        <v>Number of medications prescribed to individuals living with dementia for ExpWandering</v>
      </c>
      <c r="C248" t="s">
        <v>245</v>
      </c>
      <c r="D248" t="str">
        <f>IF($S$3,SUBSTITUTE(ADDRESS(1,MATCH($C248,Medications!$1:$1,0),4),"1",""),"")</f>
        <v/>
      </c>
      <c r="E248" t="s">
        <v>466</v>
      </c>
      <c r="F248" t="str">
        <f ca="1">IF(F$5,COUNTIFS(Medications!$AN:$AN,ReportAndOutcomeHistory!$A248,Medications!$AP:$AP,1,Medications!$AS:$AS,1,INDIRECT("Medications!$"&amp;$D248&amp;":$"&amp;$D248),1)+ROW()/100000,"")</f>
        <v/>
      </c>
      <c r="G248" t="str">
        <f ca="1">IF(G$5,COUNTIFS(Medications!$AN:$AN,ReportAndOutcomeHistory!$A248,Medications!$AP:$AP,1,Medications!$AS:$AS,1,INDIRECT("Medications!$"&amp;$D248&amp;":$"&amp;$D248),1)+ROW()/100000,"")</f>
        <v/>
      </c>
      <c r="H248" t="str">
        <f ca="1">IF(H$5,COUNTIFS(Medications!$AN:$AN,ReportAndOutcomeHistory!$A248,Medications!$AP:$AP,1,Medications!$AS:$AS,1,INDIRECT("Medications!$"&amp;$D248&amp;":$"&amp;$D248),1)+ROW()/100000,"")</f>
        <v/>
      </c>
      <c r="I248" t="str">
        <f ca="1">IF(I$5,COUNTIFS(Medications!$AN:$AN,ReportAndOutcomeHistory!$A248,Medications!$AP:$AP,1,Medications!$AS:$AS,1,INDIRECT("Medications!$"&amp;$D248&amp;":$"&amp;$D248),1)+ROW()/100000,"")</f>
        <v/>
      </c>
      <c r="J248" t="str">
        <f ca="1">IF(J$5,COUNTIFS(Medications!$AN:$AN,ReportAndOutcomeHistory!$A248,Medications!$AP:$AP,1,Medications!$AS:$AS,1,INDIRECT("Medications!$"&amp;$D248&amp;":$"&amp;$D248),1)+ROW()/100000,"")</f>
        <v/>
      </c>
      <c r="K248" t="str">
        <f ca="1">IF(K$5,COUNTIFS(Medications!$AN:$AN,ReportAndOutcomeHistory!$A248,Medications!$AP:$AP,1,Medications!$AS:$AS,1,INDIRECT("Medications!$"&amp;$D248&amp;":$"&amp;$D248),1)+ROW()/100000,"")</f>
        <v/>
      </c>
      <c r="L248" t="str">
        <f ca="1">IF(L$5,COUNTIFS(Medications!$AN:$AN,ReportAndOutcomeHistory!$A248,Medications!$AP:$AP,1,Medications!$AS:$AS,1,INDIRECT("Medications!$"&amp;$D248&amp;":$"&amp;$D248),1)+ROW()/100000,"")</f>
        <v/>
      </c>
      <c r="M248" t="str">
        <f ca="1">IF(M$5,COUNTIFS(Medications!$AN:$AN,ReportAndOutcomeHistory!$A248,Medications!$AP:$AP,1,Medications!$AS:$AS,1,INDIRECT("Medications!$"&amp;$D248&amp;":$"&amp;$D248),1)+ROW()/100000,"")</f>
        <v/>
      </c>
      <c r="N248" t="str">
        <f ca="1">IF(N$5,COUNTIFS(Medications!$AN:$AN,ReportAndOutcomeHistory!$A248,Medications!$AP:$AP,1,Medications!$AS:$AS,1,INDIRECT("Medications!$"&amp;$D248&amp;":$"&amp;$D248),1)+ROW()/100000,"")</f>
        <v/>
      </c>
      <c r="O248" t="str">
        <f ca="1">IF(O$5,COUNTIFS(Medications!$AN:$AN,ReportAndOutcomeHistory!$A248,Medications!$AP:$AP,1,Medications!$AS:$AS,1,INDIRECT("Medications!$"&amp;$D248&amp;":$"&amp;$D248),1)+ROW()/100000,"")</f>
        <v/>
      </c>
      <c r="P248" t="str">
        <f ca="1">IF(P$5,COUNTIFS(Medications!$AN:$AN,ReportAndOutcomeHistory!$A248,Medications!$AP:$AP,1,Medications!$AS:$AS,1,INDIRECT("Medications!$"&amp;$D248&amp;":$"&amp;$D248),1)+ROW()/100000,"")</f>
        <v/>
      </c>
      <c r="Q248" t="str">
        <f ca="1">IF(Q$5,COUNTIFS(Medications!$AN:$AN,ReportAndOutcomeHistory!$A248,Medications!$AP:$AP,1,Medications!$AS:$AS,1,INDIRECT("Medications!$"&amp;$D248&amp;":$"&amp;$D248),1)+ROW()/100000,"")</f>
        <v/>
      </c>
      <c r="R248" t="str">
        <f ca="1">IF(R$5,COUNTIFS(Medications!$AN:$AN,ReportAndOutcomeHistory!$A248,Medications!$AP:$AP,1,Medications!$AS:$AS,1,INDIRECT("Medications!$"&amp;$D248&amp;":$"&amp;$D248),1)+ROW()/100000,"")</f>
        <v/>
      </c>
    </row>
    <row r="249" spans="1:18" ht="15">
      <c r="A249" t="s">
        <v>40</v>
      </c>
      <c r="B249" t="str">
        <f aca="true" t="shared" si="41" ref="B249:B268">"Number of medications prescribed to individuals living with dementia for "&amp;C249</f>
        <v>Number of medications prescribed to individuals living with dementia for ExpPacing</v>
      </c>
      <c r="C249" t="s">
        <v>246</v>
      </c>
      <c r="D249" t="str">
        <f>IF($S$3,SUBSTITUTE(ADDRESS(1,MATCH($C249,Medications!$1:$1,0),4),"1",""),"")</f>
        <v/>
      </c>
      <c r="E249" t="s">
        <v>466</v>
      </c>
      <c r="F249" t="str">
        <f ca="1">IF(F$5,COUNTIFS(Medications!$AN:$AN,ReportAndOutcomeHistory!$A249,Medications!$AP:$AP,1,Medications!$AS:$AS,1,INDIRECT("Medications!$"&amp;$D249&amp;":$"&amp;$D249),1)+ROW()/100000,"")</f>
        <v/>
      </c>
      <c r="G249" t="str">
        <f ca="1">IF(G$5,COUNTIFS(Medications!$AN:$AN,ReportAndOutcomeHistory!$A249,Medications!$AP:$AP,1,Medications!$AS:$AS,1,INDIRECT("Medications!$"&amp;$D249&amp;":$"&amp;$D249),1)+ROW()/100000,"")</f>
        <v/>
      </c>
      <c r="H249" t="str">
        <f ca="1">IF(H$5,COUNTIFS(Medications!$AN:$AN,ReportAndOutcomeHistory!$A249,Medications!$AP:$AP,1,Medications!$AS:$AS,1,INDIRECT("Medications!$"&amp;$D249&amp;":$"&amp;$D249),1)+ROW()/100000,"")</f>
        <v/>
      </c>
      <c r="I249" t="str">
        <f ca="1">IF(I$5,COUNTIFS(Medications!$AN:$AN,ReportAndOutcomeHistory!$A249,Medications!$AP:$AP,1,Medications!$AS:$AS,1,INDIRECT("Medications!$"&amp;$D249&amp;":$"&amp;$D249),1)+ROW()/100000,"")</f>
        <v/>
      </c>
      <c r="J249" t="str">
        <f ca="1">IF(J$5,COUNTIFS(Medications!$AN:$AN,ReportAndOutcomeHistory!$A249,Medications!$AP:$AP,1,Medications!$AS:$AS,1,INDIRECT("Medications!$"&amp;$D249&amp;":$"&amp;$D249),1)+ROW()/100000,"")</f>
        <v/>
      </c>
      <c r="K249" t="str">
        <f ca="1">IF(K$5,COUNTIFS(Medications!$AN:$AN,ReportAndOutcomeHistory!$A249,Medications!$AP:$AP,1,Medications!$AS:$AS,1,INDIRECT("Medications!$"&amp;$D249&amp;":$"&amp;$D249),1)+ROW()/100000,"")</f>
        <v/>
      </c>
      <c r="L249" t="str">
        <f ca="1">IF(L$5,COUNTIFS(Medications!$AN:$AN,ReportAndOutcomeHistory!$A249,Medications!$AP:$AP,1,Medications!$AS:$AS,1,INDIRECT("Medications!$"&amp;$D249&amp;":$"&amp;$D249),1)+ROW()/100000,"")</f>
        <v/>
      </c>
      <c r="M249" t="str">
        <f ca="1">IF(M$5,COUNTIFS(Medications!$AN:$AN,ReportAndOutcomeHistory!$A249,Medications!$AP:$AP,1,Medications!$AS:$AS,1,INDIRECT("Medications!$"&amp;$D249&amp;":$"&amp;$D249),1)+ROW()/100000,"")</f>
        <v/>
      </c>
      <c r="N249" t="str">
        <f ca="1">IF(N$5,COUNTIFS(Medications!$AN:$AN,ReportAndOutcomeHistory!$A249,Medications!$AP:$AP,1,Medications!$AS:$AS,1,INDIRECT("Medications!$"&amp;$D249&amp;":$"&amp;$D249),1)+ROW()/100000,"")</f>
        <v/>
      </c>
      <c r="O249" t="str">
        <f ca="1">IF(O$5,COUNTIFS(Medications!$AN:$AN,ReportAndOutcomeHistory!$A249,Medications!$AP:$AP,1,Medications!$AS:$AS,1,INDIRECT("Medications!$"&amp;$D249&amp;":$"&amp;$D249),1)+ROW()/100000,"")</f>
        <v/>
      </c>
      <c r="P249" t="str">
        <f ca="1">IF(P$5,COUNTIFS(Medications!$AN:$AN,ReportAndOutcomeHistory!$A249,Medications!$AP:$AP,1,Medications!$AS:$AS,1,INDIRECT("Medications!$"&amp;$D249&amp;":$"&amp;$D249),1)+ROW()/100000,"")</f>
        <v/>
      </c>
      <c r="Q249" t="str">
        <f ca="1">IF(Q$5,COUNTIFS(Medications!$AN:$AN,ReportAndOutcomeHistory!$A249,Medications!$AP:$AP,1,Medications!$AS:$AS,1,INDIRECT("Medications!$"&amp;$D249&amp;":$"&amp;$D249),1)+ROW()/100000,"")</f>
        <v/>
      </c>
      <c r="R249" t="str">
        <f ca="1">IF(R$5,COUNTIFS(Medications!$AN:$AN,ReportAndOutcomeHistory!$A249,Medications!$AP:$AP,1,Medications!$AS:$AS,1,INDIRECT("Medications!$"&amp;$D249&amp;":$"&amp;$D249),1)+ROW()/100000,"")</f>
        <v/>
      </c>
    </row>
    <row r="250" spans="1:18" ht="15">
      <c r="A250" t="s">
        <v>40</v>
      </c>
      <c r="B250" t="str">
        <f t="shared" si="41"/>
        <v>Number of medications prescribed to individuals living with dementia for ExpSearching</v>
      </c>
      <c r="C250" t="s">
        <v>247</v>
      </c>
      <c r="D250" t="str">
        <f>IF($S$3,SUBSTITUTE(ADDRESS(1,MATCH($C250,Medications!$1:$1,0),4),"1",""),"")</f>
        <v/>
      </c>
      <c r="E250" t="s">
        <v>466</v>
      </c>
      <c r="F250" t="str">
        <f ca="1">IF(F$5,COUNTIFS(Medications!$AN:$AN,ReportAndOutcomeHistory!$A250,Medications!$AP:$AP,1,Medications!$AS:$AS,1,INDIRECT("Medications!$"&amp;$D250&amp;":$"&amp;$D250),1)+ROW()/100000,"")</f>
        <v/>
      </c>
      <c r="G250" t="str">
        <f ca="1">IF(G$5,COUNTIFS(Medications!$AN:$AN,ReportAndOutcomeHistory!$A250,Medications!$AP:$AP,1,Medications!$AS:$AS,1,INDIRECT("Medications!$"&amp;$D250&amp;":$"&amp;$D250),1)+ROW()/100000,"")</f>
        <v/>
      </c>
      <c r="H250" t="str">
        <f ca="1">IF(H$5,COUNTIFS(Medications!$AN:$AN,ReportAndOutcomeHistory!$A250,Medications!$AP:$AP,1,Medications!$AS:$AS,1,INDIRECT("Medications!$"&amp;$D250&amp;":$"&amp;$D250),1)+ROW()/100000,"")</f>
        <v/>
      </c>
      <c r="I250" t="str">
        <f ca="1">IF(I$5,COUNTIFS(Medications!$AN:$AN,ReportAndOutcomeHistory!$A250,Medications!$AP:$AP,1,Medications!$AS:$AS,1,INDIRECT("Medications!$"&amp;$D250&amp;":$"&amp;$D250),1)+ROW()/100000,"")</f>
        <v/>
      </c>
      <c r="J250" t="str">
        <f ca="1">IF(J$5,COUNTIFS(Medications!$AN:$AN,ReportAndOutcomeHistory!$A250,Medications!$AP:$AP,1,Medications!$AS:$AS,1,INDIRECT("Medications!$"&amp;$D250&amp;":$"&amp;$D250),1)+ROW()/100000,"")</f>
        <v/>
      </c>
      <c r="K250" t="str">
        <f ca="1">IF(K$5,COUNTIFS(Medications!$AN:$AN,ReportAndOutcomeHistory!$A250,Medications!$AP:$AP,1,Medications!$AS:$AS,1,INDIRECT("Medications!$"&amp;$D250&amp;":$"&amp;$D250),1)+ROW()/100000,"")</f>
        <v/>
      </c>
      <c r="L250" t="str">
        <f ca="1">IF(L$5,COUNTIFS(Medications!$AN:$AN,ReportAndOutcomeHistory!$A250,Medications!$AP:$AP,1,Medications!$AS:$AS,1,INDIRECT("Medications!$"&amp;$D250&amp;":$"&amp;$D250),1)+ROW()/100000,"")</f>
        <v/>
      </c>
      <c r="M250" t="str">
        <f ca="1">IF(M$5,COUNTIFS(Medications!$AN:$AN,ReportAndOutcomeHistory!$A250,Medications!$AP:$AP,1,Medications!$AS:$AS,1,INDIRECT("Medications!$"&amp;$D250&amp;":$"&amp;$D250),1)+ROW()/100000,"")</f>
        <v/>
      </c>
      <c r="N250" t="str">
        <f ca="1">IF(N$5,COUNTIFS(Medications!$AN:$AN,ReportAndOutcomeHistory!$A250,Medications!$AP:$AP,1,Medications!$AS:$AS,1,INDIRECT("Medications!$"&amp;$D250&amp;":$"&amp;$D250),1)+ROW()/100000,"")</f>
        <v/>
      </c>
      <c r="O250" t="str">
        <f ca="1">IF(O$5,COUNTIFS(Medications!$AN:$AN,ReportAndOutcomeHistory!$A250,Medications!$AP:$AP,1,Medications!$AS:$AS,1,INDIRECT("Medications!$"&amp;$D250&amp;":$"&amp;$D250),1)+ROW()/100000,"")</f>
        <v/>
      </c>
      <c r="P250" t="str">
        <f ca="1">IF(P$5,COUNTIFS(Medications!$AN:$AN,ReportAndOutcomeHistory!$A250,Medications!$AP:$AP,1,Medications!$AS:$AS,1,INDIRECT("Medications!$"&amp;$D250&amp;":$"&amp;$D250),1)+ROW()/100000,"")</f>
        <v/>
      </c>
      <c r="Q250" t="str">
        <f ca="1">IF(Q$5,COUNTIFS(Medications!$AN:$AN,ReportAndOutcomeHistory!$A250,Medications!$AP:$AP,1,Medications!$AS:$AS,1,INDIRECT("Medications!$"&amp;$D250&amp;":$"&amp;$D250),1)+ROW()/100000,"")</f>
        <v/>
      </c>
      <c r="R250" t="str">
        <f ca="1">IF(R$5,COUNTIFS(Medications!$AN:$AN,ReportAndOutcomeHistory!$A250,Medications!$AP:$AP,1,Medications!$AS:$AS,1,INDIRECT("Medications!$"&amp;$D250&amp;":$"&amp;$D250),1)+ROW()/100000,"")</f>
        <v/>
      </c>
    </row>
    <row r="251" spans="1:18" ht="15">
      <c r="A251" t="s">
        <v>40</v>
      </c>
      <c r="B251" t="str">
        <f t="shared" si="41"/>
        <v>Number of medications prescribed to individuals living with dementia for ExpRepetitiveVocalizations</v>
      </c>
      <c r="C251" t="s">
        <v>248</v>
      </c>
      <c r="D251" t="str">
        <f>IF($S$3,SUBSTITUTE(ADDRESS(1,MATCH($C251,Medications!$1:$1,0),4),"1",""),"")</f>
        <v/>
      </c>
      <c r="E251" t="s">
        <v>466</v>
      </c>
      <c r="F251" t="str">
        <f ca="1">IF(F$5,COUNTIFS(Medications!$AN:$AN,ReportAndOutcomeHistory!$A251,Medications!$AP:$AP,1,Medications!$AS:$AS,1,INDIRECT("Medications!$"&amp;$D251&amp;":$"&amp;$D251),1)+ROW()/100000,"")</f>
        <v/>
      </c>
      <c r="G251" t="str">
        <f ca="1">IF(G$5,COUNTIFS(Medications!$AN:$AN,ReportAndOutcomeHistory!$A251,Medications!$AP:$AP,1,Medications!$AS:$AS,1,INDIRECT("Medications!$"&amp;$D251&amp;":$"&amp;$D251),1)+ROW()/100000,"")</f>
        <v/>
      </c>
      <c r="H251" t="str">
        <f ca="1">IF(H$5,COUNTIFS(Medications!$AN:$AN,ReportAndOutcomeHistory!$A251,Medications!$AP:$AP,1,Medications!$AS:$AS,1,INDIRECT("Medications!$"&amp;$D251&amp;":$"&amp;$D251),1)+ROW()/100000,"")</f>
        <v/>
      </c>
      <c r="I251" t="str">
        <f ca="1">IF(I$5,COUNTIFS(Medications!$AN:$AN,ReportAndOutcomeHistory!$A251,Medications!$AP:$AP,1,Medications!$AS:$AS,1,INDIRECT("Medications!$"&amp;$D251&amp;":$"&amp;$D251),1)+ROW()/100000,"")</f>
        <v/>
      </c>
      <c r="J251" t="str">
        <f ca="1">IF(J$5,COUNTIFS(Medications!$AN:$AN,ReportAndOutcomeHistory!$A251,Medications!$AP:$AP,1,Medications!$AS:$AS,1,INDIRECT("Medications!$"&amp;$D251&amp;":$"&amp;$D251),1)+ROW()/100000,"")</f>
        <v/>
      </c>
      <c r="K251" t="str">
        <f ca="1">IF(K$5,COUNTIFS(Medications!$AN:$AN,ReportAndOutcomeHistory!$A251,Medications!$AP:$AP,1,Medications!$AS:$AS,1,INDIRECT("Medications!$"&amp;$D251&amp;":$"&amp;$D251),1)+ROW()/100000,"")</f>
        <v/>
      </c>
      <c r="L251" t="str">
        <f ca="1">IF(L$5,COUNTIFS(Medications!$AN:$AN,ReportAndOutcomeHistory!$A251,Medications!$AP:$AP,1,Medications!$AS:$AS,1,INDIRECT("Medications!$"&amp;$D251&amp;":$"&amp;$D251),1)+ROW()/100000,"")</f>
        <v/>
      </c>
      <c r="M251" t="str">
        <f ca="1">IF(M$5,COUNTIFS(Medications!$AN:$AN,ReportAndOutcomeHistory!$A251,Medications!$AP:$AP,1,Medications!$AS:$AS,1,INDIRECT("Medications!$"&amp;$D251&amp;":$"&amp;$D251),1)+ROW()/100000,"")</f>
        <v/>
      </c>
      <c r="N251" t="str">
        <f ca="1">IF(N$5,COUNTIFS(Medications!$AN:$AN,ReportAndOutcomeHistory!$A251,Medications!$AP:$AP,1,Medications!$AS:$AS,1,INDIRECT("Medications!$"&amp;$D251&amp;":$"&amp;$D251),1)+ROW()/100000,"")</f>
        <v/>
      </c>
      <c r="O251" t="str">
        <f ca="1">IF(O$5,COUNTIFS(Medications!$AN:$AN,ReportAndOutcomeHistory!$A251,Medications!$AP:$AP,1,Medications!$AS:$AS,1,INDIRECT("Medications!$"&amp;$D251&amp;":$"&amp;$D251),1)+ROW()/100000,"")</f>
        <v/>
      </c>
      <c r="P251" t="str">
        <f ca="1">IF(P$5,COUNTIFS(Medications!$AN:$AN,ReportAndOutcomeHistory!$A251,Medications!$AP:$AP,1,Medications!$AS:$AS,1,INDIRECT("Medications!$"&amp;$D251&amp;":$"&amp;$D251),1)+ROW()/100000,"")</f>
        <v/>
      </c>
      <c r="Q251" t="str">
        <f ca="1">IF(Q$5,COUNTIFS(Medications!$AN:$AN,ReportAndOutcomeHistory!$A251,Medications!$AP:$AP,1,Medications!$AS:$AS,1,INDIRECT("Medications!$"&amp;$D251&amp;":$"&amp;$D251),1)+ROW()/100000,"")</f>
        <v/>
      </c>
      <c r="R251" t="str">
        <f ca="1">IF(R$5,COUNTIFS(Medications!$AN:$AN,ReportAndOutcomeHistory!$A251,Medications!$AP:$AP,1,Medications!$AS:$AS,1,INDIRECT("Medications!$"&amp;$D251&amp;":$"&amp;$D251),1)+ROW()/100000,"")</f>
        <v/>
      </c>
    </row>
    <row r="252" spans="1:18" ht="15">
      <c r="A252" t="s">
        <v>40</v>
      </c>
      <c r="B252" t="str">
        <f t="shared" si="41"/>
        <v>Number of medications prescribed to individuals living with dementia for ExpRestlessness</v>
      </c>
      <c r="C252" t="s">
        <v>249</v>
      </c>
      <c r="D252" t="str">
        <f>IF($S$3,SUBSTITUTE(ADDRESS(1,MATCH($C252,Medications!$1:$1,0),4),"1",""),"")</f>
        <v/>
      </c>
      <c r="E252" t="s">
        <v>466</v>
      </c>
      <c r="F252" t="str">
        <f ca="1">IF(F$5,COUNTIFS(Medications!$AN:$AN,ReportAndOutcomeHistory!$A252,Medications!$AP:$AP,1,Medications!$AS:$AS,1,INDIRECT("Medications!$"&amp;$D252&amp;":$"&amp;$D252),1)+ROW()/100000,"")</f>
        <v/>
      </c>
      <c r="G252" t="str">
        <f ca="1">IF(G$5,COUNTIFS(Medications!$AN:$AN,ReportAndOutcomeHistory!$A252,Medications!$AP:$AP,1,Medications!$AS:$AS,1,INDIRECT("Medications!$"&amp;$D252&amp;":$"&amp;$D252),1)+ROW()/100000,"")</f>
        <v/>
      </c>
      <c r="H252" t="str">
        <f ca="1">IF(H$5,COUNTIFS(Medications!$AN:$AN,ReportAndOutcomeHistory!$A252,Medications!$AP:$AP,1,Medications!$AS:$AS,1,INDIRECT("Medications!$"&amp;$D252&amp;":$"&amp;$D252),1)+ROW()/100000,"")</f>
        <v/>
      </c>
      <c r="I252" t="str">
        <f ca="1">IF(I$5,COUNTIFS(Medications!$AN:$AN,ReportAndOutcomeHistory!$A252,Medications!$AP:$AP,1,Medications!$AS:$AS,1,INDIRECT("Medications!$"&amp;$D252&amp;":$"&amp;$D252),1)+ROW()/100000,"")</f>
        <v/>
      </c>
      <c r="J252" t="str">
        <f ca="1">IF(J$5,COUNTIFS(Medications!$AN:$AN,ReportAndOutcomeHistory!$A252,Medications!$AP:$AP,1,Medications!$AS:$AS,1,INDIRECT("Medications!$"&amp;$D252&amp;":$"&amp;$D252),1)+ROW()/100000,"")</f>
        <v/>
      </c>
      <c r="K252" t="str">
        <f ca="1">IF(K$5,COUNTIFS(Medications!$AN:$AN,ReportAndOutcomeHistory!$A252,Medications!$AP:$AP,1,Medications!$AS:$AS,1,INDIRECT("Medications!$"&amp;$D252&amp;":$"&amp;$D252),1)+ROW()/100000,"")</f>
        <v/>
      </c>
      <c r="L252" t="str">
        <f ca="1">IF(L$5,COUNTIFS(Medications!$AN:$AN,ReportAndOutcomeHistory!$A252,Medications!$AP:$AP,1,Medications!$AS:$AS,1,INDIRECT("Medications!$"&amp;$D252&amp;":$"&amp;$D252),1)+ROW()/100000,"")</f>
        <v/>
      </c>
      <c r="M252" t="str">
        <f ca="1">IF(M$5,COUNTIFS(Medications!$AN:$AN,ReportAndOutcomeHistory!$A252,Medications!$AP:$AP,1,Medications!$AS:$AS,1,INDIRECT("Medications!$"&amp;$D252&amp;":$"&amp;$D252),1)+ROW()/100000,"")</f>
        <v/>
      </c>
      <c r="N252" t="str">
        <f ca="1">IF(N$5,COUNTIFS(Medications!$AN:$AN,ReportAndOutcomeHistory!$A252,Medications!$AP:$AP,1,Medications!$AS:$AS,1,INDIRECT("Medications!$"&amp;$D252&amp;":$"&amp;$D252),1)+ROW()/100000,"")</f>
        <v/>
      </c>
      <c r="O252" t="str">
        <f ca="1">IF(O$5,COUNTIFS(Medications!$AN:$AN,ReportAndOutcomeHistory!$A252,Medications!$AP:$AP,1,Medications!$AS:$AS,1,INDIRECT("Medications!$"&amp;$D252&amp;":$"&amp;$D252),1)+ROW()/100000,"")</f>
        <v/>
      </c>
      <c r="P252" t="str">
        <f ca="1">IF(P$5,COUNTIFS(Medications!$AN:$AN,ReportAndOutcomeHistory!$A252,Medications!$AP:$AP,1,Medications!$AS:$AS,1,INDIRECT("Medications!$"&amp;$D252&amp;":$"&amp;$D252),1)+ROW()/100000,"")</f>
        <v/>
      </c>
      <c r="Q252" t="str">
        <f ca="1">IF(Q$5,COUNTIFS(Medications!$AN:$AN,ReportAndOutcomeHistory!$A252,Medications!$AP:$AP,1,Medications!$AS:$AS,1,INDIRECT("Medications!$"&amp;$D252&amp;":$"&amp;$D252),1)+ROW()/100000,"")</f>
        <v/>
      </c>
      <c r="R252" t="str">
        <f ca="1">IF(R$5,COUNTIFS(Medications!$AN:$AN,ReportAndOutcomeHistory!$A252,Medications!$AP:$AP,1,Medications!$AS:$AS,1,INDIRECT("Medications!$"&amp;$D252&amp;":$"&amp;$D252),1)+ROW()/100000,"")</f>
        <v/>
      </c>
    </row>
    <row r="253" spans="1:18" ht="15">
      <c r="A253" t="s">
        <v>40</v>
      </c>
      <c r="B253" t="str">
        <f t="shared" si="41"/>
        <v>Number of medications prescribed to individuals living with dementia for ExpDifferentPerceptions</v>
      </c>
      <c r="C253" t="s">
        <v>250</v>
      </c>
      <c r="D253" t="str">
        <f>IF($S$3,SUBSTITUTE(ADDRESS(1,MATCH($C253,Medications!$1:$1,0),4),"1",""),"")</f>
        <v/>
      </c>
      <c r="E253" t="s">
        <v>466</v>
      </c>
      <c r="F253" t="str">
        <f ca="1">IF(F$5,COUNTIFS(Medications!$AN:$AN,ReportAndOutcomeHistory!$A253,Medications!$AP:$AP,1,Medications!$AS:$AS,1,INDIRECT("Medications!$"&amp;$D253&amp;":$"&amp;$D253),1)+ROW()/100000,"")</f>
        <v/>
      </c>
      <c r="G253" t="str">
        <f ca="1">IF(G$5,COUNTIFS(Medications!$AN:$AN,ReportAndOutcomeHistory!$A253,Medications!$AP:$AP,1,Medications!$AS:$AS,1,INDIRECT("Medications!$"&amp;$D253&amp;":$"&amp;$D253),1)+ROW()/100000,"")</f>
        <v/>
      </c>
      <c r="H253" t="str">
        <f ca="1">IF(H$5,COUNTIFS(Medications!$AN:$AN,ReportAndOutcomeHistory!$A253,Medications!$AP:$AP,1,Medications!$AS:$AS,1,INDIRECT("Medications!$"&amp;$D253&amp;":$"&amp;$D253),1)+ROW()/100000,"")</f>
        <v/>
      </c>
      <c r="I253" t="str">
        <f ca="1">IF(I$5,COUNTIFS(Medications!$AN:$AN,ReportAndOutcomeHistory!$A253,Medications!$AP:$AP,1,Medications!$AS:$AS,1,INDIRECT("Medications!$"&amp;$D253&amp;":$"&amp;$D253),1)+ROW()/100000,"")</f>
        <v/>
      </c>
      <c r="J253" t="str">
        <f ca="1">IF(J$5,COUNTIFS(Medications!$AN:$AN,ReportAndOutcomeHistory!$A253,Medications!$AP:$AP,1,Medications!$AS:$AS,1,INDIRECT("Medications!$"&amp;$D253&amp;":$"&amp;$D253),1)+ROW()/100000,"")</f>
        <v/>
      </c>
      <c r="K253" t="str">
        <f ca="1">IF(K$5,COUNTIFS(Medications!$AN:$AN,ReportAndOutcomeHistory!$A253,Medications!$AP:$AP,1,Medications!$AS:$AS,1,INDIRECT("Medications!$"&amp;$D253&amp;":$"&amp;$D253),1)+ROW()/100000,"")</f>
        <v/>
      </c>
      <c r="L253" t="str">
        <f ca="1">IF(L$5,COUNTIFS(Medications!$AN:$AN,ReportAndOutcomeHistory!$A253,Medications!$AP:$AP,1,Medications!$AS:$AS,1,INDIRECT("Medications!$"&amp;$D253&amp;":$"&amp;$D253),1)+ROW()/100000,"")</f>
        <v/>
      </c>
      <c r="M253" t="str">
        <f ca="1">IF(M$5,COUNTIFS(Medications!$AN:$AN,ReportAndOutcomeHistory!$A253,Medications!$AP:$AP,1,Medications!$AS:$AS,1,INDIRECT("Medications!$"&amp;$D253&amp;":$"&amp;$D253),1)+ROW()/100000,"")</f>
        <v/>
      </c>
      <c r="N253" t="str">
        <f ca="1">IF(N$5,COUNTIFS(Medications!$AN:$AN,ReportAndOutcomeHistory!$A253,Medications!$AP:$AP,1,Medications!$AS:$AS,1,INDIRECT("Medications!$"&amp;$D253&amp;":$"&amp;$D253),1)+ROW()/100000,"")</f>
        <v/>
      </c>
      <c r="O253" t="str">
        <f ca="1">IF(O$5,COUNTIFS(Medications!$AN:$AN,ReportAndOutcomeHistory!$A253,Medications!$AP:$AP,1,Medications!$AS:$AS,1,INDIRECT("Medications!$"&amp;$D253&amp;":$"&amp;$D253),1)+ROW()/100000,"")</f>
        <v/>
      </c>
      <c r="P253" t="str">
        <f ca="1">IF(P$5,COUNTIFS(Medications!$AN:$AN,ReportAndOutcomeHistory!$A253,Medications!$AP:$AP,1,Medications!$AS:$AS,1,INDIRECT("Medications!$"&amp;$D253&amp;":$"&amp;$D253),1)+ROW()/100000,"")</f>
        <v/>
      </c>
      <c r="Q253" t="str">
        <f ca="1">IF(Q$5,COUNTIFS(Medications!$AN:$AN,ReportAndOutcomeHistory!$A253,Medications!$AP:$AP,1,Medications!$AS:$AS,1,INDIRECT("Medications!$"&amp;$D253&amp;":$"&amp;$D253),1)+ROW()/100000,"")</f>
        <v/>
      </c>
      <c r="R253" t="str">
        <f ca="1">IF(R$5,COUNTIFS(Medications!$AN:$AN,ReportAndOutcomeHistory!$A253,Medications!$AP:$AP,1,Medications!$AS:$AS,1,INDIRECT("Medications!$"&amp;$D253&amp;":$"&amp;$D253),1)+ROW()/100000,"")</f>
        <v/>
      </c>
    </row>
    <row r="254" spans="1:18" ht="15">
      <c r="A254" t="s">
        <v>40</v>
      </c>
      <c r="B254" t="str">
        <f t="shared" si="41"/>
        <v>Number of medications prescribed to individuals living with dementia for ExpResistingCare</v>
      </c>
      <c r="C254" t="s">
        <v>251</v>
      </c>
      <c r="D254" t="str">
        <f>IF($S$3,SUBSTITUTE(ADDRESS(1,MATCH($C254,Medications!$1:$1,0),4),"1",""),"")</f>
        <v/>
      </c>
      <c r="E254" t="s">
        <v>466</v>
      </c>
      <c r="F254" t="str">
        <f ca="1">IF(F$5,COUNTIFS(Medications!$AN:$AN,ReportAndOutcomeHistory!$A254,Medications!$AP:$AP,1,Medications!$AS:$AS,1,INDIRECT("Medications!$"&amp;$D254&amp;":$"&amp;$D254),1)+ROW()/100000,"")</f>
        <v/>
      </c>
      <c r="G254" t="str">
        <f ca="1">IF(G$5,COUNTIFS(Medications!$AN:$AN,ReportAndOutcomeHistory!$A254,Medications!$AP:$AP,1,Medications!$AS:$AS,1,INDIRECT("Medications!$"&amp;$D254&amp;":$"&amp;$D254),1)+ROW()/100000,"")</f>
        <v/>
      </c>
      <c r="H254" t="str">
        <f ca="1">IF(H$5,COUNTIFS(Medications!$AN:$AN,ReportAndOutcomeHistory!$A254,Medications!$AP:$AP,1,Medications!$AS:$AS,1,INDIRECT("Medications!$"&amp;$D254&amp;":$"&amp;$D254),1)+ROW()/100000,"")</f>
        <v/>
      </c>
      <c r="I254" t="str">
        <f ca="1">IF(I$5,COUNTIFS(Medications!$AN:$AN,ReportAndOutcomeHistory!$A254,Medications!$AP:$AP,1,Medications!$AS:$AS,1,INDIRECT("Medications!$"&amp;$D254&amp;":$"&amp;$D254),1)+ROW()/100000,"")</f>
        <v/>
      </c>
      <c r="J254" t="str">
        <f ca="1">IF(J$5,COUNTIFS(Medications!$AN:$AN,ReportAndOutcomeHistory!$A254,Medications!$AP:$AP,1,Medications!$AS:$AS,1,INDIRECT("Medications!$"&amp;$D254&amp;":$"&amp;$D254),1)+ROW()/100000,"")</f>
        <v/>
      </c>
      <c r="K254" t="str">
        <f ca="1">IF(K$5,COUNTIFS(Medications!$AN:$AN,ReportAndOutcomeHistory!$A254,Medications!$AP:$AP,1,Medications!$AS:$AS,1,INDIRECT("Medications!$"&amp;$D254&amp;":$"&amp;$D254),1)+ROW()/100000,"")</f>
        <v/>
      </c>
      <c r="L254" t="str">
        <f ca="1">IF(L$5,COUNTIFS(Medications!$AN:$AN,ReportAndOutcomeHistory!$A254,Medications!$AP:$AP,1,Medications!$AS:$AS,1,INDIRECT("Medications!$"&amp;$D254&amp;":$"&amp;$D254),1)+ROW()/100000,"")</f>
        <v/>
      </c>
      <c r="M254" t="str">
        <f ca="1">IF(M$5,COUNTIFS(Medications!$AN:$AN,ReportAndOutcomeHistory!$A254,Medications!$AP:$AP,1,Medications!$AS:$AS,1,INDIRECT("Medications!$"&amp;$D254&amp;":$"&amp;$D254),1)+ROW()/100000,"")</f>
        <v/>
      </c>
      <c r="N254" t="str">
        <f ca="1">IF(N$5,COUNTIFS(Medications!$AN:$AN,ReportAndOutcomeHistory!$A254,Medications!$AP:$AP,1,Medications!$AS:$AS,1,INDIRECT("Medications!$"&amp;$D254&amp;":$"&amp;$D254),1)+ROW()/100000,"")</f>
        <v/>
      </c>
      <c r="O254" t="str">
        <f ca="1">IF(O$5,COUNTIFS(Medications!$AN:$AN,ReportAndOutcomeHistory!$A254,Medications!$AP:$AP,1,Medications!$AS:$AS,1,INDIRECT("Medications!$"&amp;$D254&amp;":$"&amp;$D254),1)+ROW()/100000,"")</f>
        <v/>
      </c>
      <c r="P254" t="str">
        <f ca="1">IF(P$5,COUNTIFS(Medications!$AN:$AN,ReportAndOutcomeHistory!$A254,Medications!$AP:$AP,1,Medications!$AS:$AS,1,INDIRECT("Medications!$"&amp;$D254&amp;":$"&amp;$D254),1)+ROW()/100000,"")</f>
        <v/>
      </c>
      <c r="Q254" t="str">
        <f ca="1">IF(Q$5,COUNTIFS(Medications!$AN:$AN,ReportAndOutcomeHistory!$A254,Medications!$AP:$AP,1,Medications!$AS:$AS,1,INDIRECT("Medications!$"&amp;$D254&amp;":$"&amp;$D254),1)+ROW()/100000,"")</f>
        <v/>
      </c>
      <c r="R254" t="str">
        <f ca="1">IF(R$5,COUNTIFS(Medications!$AN:$AN,ReportAndOutcomeHistory!$A254,Medications!$AP:$AP,1,Medications!$AS:$AS,1,INDIRECT("Medications!$"&amp;$D254&amp;":$"&amp;$D254),1)+ROW()/100000,"")</f>
        <v/>
      </c>
    </row>
    <row r="255" spans="1:18" ht="15">
      <c r="A255" t="s">
        <v>40</v>
      </c>
      <c r="B255" t="str">
        <f t="shared" si="41"/>
        <v>Number of medications prescribed to individuals living with dementia for ExpExitSeeking</v>
      </c>
      <c r="C255" t="s">
        <v>252</v>
      </c>
      <c r="D255" t="str">
        <f>IF($S$3,SUBSTITUTE(ADDRESS(1,MATCH($C255,Medications!$1:$1,0),4),"1",""),"")</f>
        <v/>
      </c>
      <c r="E255" t="s">
        <v>466</v>
      </c>
      <c r="F255" t="str">
        <f ca="1">IF(F$5,COUNTIFS(Medications!$AN:$AN,ReportAndOutcomeHistory!$A255,Medications!$AP:$AP,1,Medications!$AS:$AS,1,INDIRECT("Medications!$"&amp;$D255&amp;":$"&amp;$D255),1)+ROW()/100000,"")</f>
        <v/>
      </c>
      <c r="G255" t="str">
        <f ca="1">IF(G$5,COUNTIFS(Medications!$AN:$AN,ReportAndOutcomeHistory!$A255,Medications!$AP:$AP,1,Medications!$AS:$AS,1,INDIRECT("Medications!$"&amp;$D255&amp;":$"&amp;$D255),1)+ROW()/100000,"")</f>
        <v/>
      </c>
      <c r="H255" t="str">
        <f ca="1">IF(H$5,COUNTIFS(Medications!$AN:$AN,ReportAndOutcomeHistory!$A255,Medications!$AP:$AP,1,Medications!$AS:$AS,1,INDIRECT("Medications!$"&amp;$D255&amp;":$"&amp;$D255),1)+ROW()/100000,"")</f>
        <v/>
      </c>
      <c r="I255" t="str">
        <f ca="1">IF(I$5,COUNTIFS(Medications!$AN:$AN,ReportAndOutcomeHistory!$A255,Medications!$AP:$AP,1,Medications!$AS:$AS,1,INDIRECT("Medications!$"&amp;$D255&amp;":$"&amp;$D255),1)+ROW()/100000,"")</f>
        <v/>
      </c>
      <c r="J255" t="str">
        <f ca="1">IF(J$5,COUNTIFS(Medications!$AN:$AN,ReportAndOutcomeHistory!$A255,Medications!$AP:$AP,1,Medications!$AS:$AS,1,INDIRECT("Medications!$"&amp;$D255&amp;":$"&amp;$D255),1)+ROW()/100000,"")</f>
        <v/>
      </c>
      <c r="K255" t="str">
        <f ca="1">IF(K$5,COUNTIFS(Medications!$AN:$AN,ReportAndOutcomeHistory!$A255,Medications!$AP:$AP,1,Medications!$AS:$AS,1,INDIRECT("Medications!$"&amp;$D255&amp;":$"&amp;$D255),1)+ROW()/100000,"")</f>
        <v/>
      </c>
      <c r="L255" t="str">
        <f ca="1">IF(L$5,COUNTIFS(Medications!$AN:$AN,ReportAndOutcomeHistory!$A255,Medications!$AP:$AP,1,Medications!$AS:$AS,1,INDIRECT("Medications!$"&amp;$D255&amp;":$"&amp;$D255),1)+ROW()/100000,"")</f>
        <v/>
      </c>
      <c r="M255" t="str">
        <f ca="1">IF(M$5,COUNTIFS(Medications!$AN:$AN,ReportAndOutcomeHistory!$A255,Medications!$AP:$AP,1,Medications!$AS:$AS,1,INDIRECT("Medications!$"&amp;$D255&amp;":$"&amp;$D255),1)+ROW()/100000,"")</f>
        <v/>
      </c>
      <c r="N255" t="str">
        <f ca="1">IF(N$5,COUNTIFS(Medications!$AN:$AN,ReportAndOutcomeHistory!$A255,Medications!$AP:$AP,1,Medications!$AS:$AS,1,INDIRECT("Medications!$"&amp;$D255&amp;":$"&amp;$D255),1)+ROW()/100000,"")</f>
        <v/>
      </c>
      <c r="O255" t="str">
        <f ca="1">IF(O$5,COUNTIFS(Medications!$AN:$AN,ReportAndOutcomeHistory!$A255,Medications!$AP:$AP,1,Medications!$AS:$AS,1,INDIRECT("Medications!$"&amp;$D255&amp;":$"&amp;$D255),1)+ROW()/100000,"")</f>
        <v/>
      </c>
      <c r="P255" t="str">
        <f ca="1">IF(P$5,COUNTIFS(Medications!$AN:$AN,ReportAndOutcomeHistory!$A255,Medications!$AP:$AP,1,Medications!$AS:$AS,1,INDIRECT("Medications!$"&amp;$D255&amp;":$"&amp;$D255),1)+ROW()/100000,"")</f>
        <v/>
      </c>
      <c r="Q255" t="str">
        <f ca="1">IF(Q$5,COUNTIFS(Medications!$AN:$AN,ReportAndOutcomeHistory!$A255,Medications!$AP:$AP,1,Medications!$AS:$AS,1,INDIRECT("Medications!$"&amp;$D255&amp;":$"&amp;$D255),1)+ROW()/100000,"")</f>
        <v/>
      </c>
      <c r="R255" t="str">
        <f ca="1">IF(R$5,COUNTIFS(Medications!$AN:$AN,ReportAndOutcomeHistory!$A255,Medications!$AP:$AP,1,Medications!$AS:$AS,1,INDIRECT("Medications!$"&amp;$D255&amp;":$"&amp;$D255),1)+ROW()/100000,"")</f>
        <v/>
      </c>
    </row>
    <row r="256" spans="1:18" ht="15">
      <c r="A256" t="s">
        <v>40</v>
      </c>
      <c r="B256" t="str">
        <f t="shared" si="41"/>
        <v>Number of medications prescribed to individuals living with dementia for ExpCrying</v>
      </c>
      <c r="C256" t="s">
        <v>253</v>
      </c>
      <c r="D256" t="str">
        <f>IF($S$3,SUBSTITUTE(ADDRESS(1,MATCH($C256,Medications!$1:$1,0),4),"1",""),"")</f>
        <v/>
      </c>
      <c r="E256" t="s">
        <v>466</v>
      </c>
      <c r="F256" t="str">
        <f ca="1">IF(F$5,COUNTIFS(Medications!$AN:$AN,ReportAndOutcomeHistory!$A256,Medications!$AP:$AP,1,Medications!$AS:$AS,1,INDIRECT("Medications!$"&amp;$D256&amp;":$"&amp;$D256),1)+ROW()/100000,"")</f>
        <v/>
      </c>
      <c r="G256" t="str">
        <f ca="1">IF(G$5,COUNTIFS(Medications!$AN:$AN,ReportAndOutcomeHistory!$A256,Medications!$AP:$AP,1,Medications!$AS:$AS,1,INDIRECT("Medications!$"&amp;$D256&amp;":$"&amp;$D256),1)+ROW()/100000,"")</f>
        <v/>
      </c>
      <c r="H256" t="str">
        <f ca="1">IF(H$5,COUNTIFS(Medications!$AN:$AN,ReportAndOutcomeHistory!$A256,Medications!$AP:$AP,1,Medications!$AS:$AS,1,INDIRECT("Medications!$"&amp;$D256&amp;":$"&amp;$D256),1)+ROW()/100000,"")</f>
        <v/>
      </c>
      <c r="I256" t="str">
        <f ca="1">IF(I$5,COUNTIFS(Medications!$AN:$AN,ReportAndOutcomeHistory!$A256,Medications!$AP:$AP,1,Medications!$AS:$AS,1,INDIRECT("Medications!$"&amp;$D256&amp;":$"&amp;$D256),1)+ROW()/100000,"")</f>
        <v/>
      </c>
      <c r="J256" t="str">
        <f ca="1">IF(J$5,COUNTIFS(Medications!$AN:$AN,ReportAndOutcomeHistory!$A256,Medications!$AP:$AP,1,Medications!$AS:$AS,1,INDIRECT("Medications!$"&amp;$D256&amp;":$"&amp;$D256),1)+ROW()/100000,"")</f>
        <v/>
      </c>
      <c r="K256" t="str">
        <f ca="1">IF(K$5,COUNTIFS(Medications!$AN:$AN,ReportAndOutcomeHistory!$A256,Medications!$AP:$AP,1,Medications!$AS:$AS,1,INDIRECT("Medications!$"&amp;$D256&amp;":$"&amp;$D256),1)+ROW()/100000,"")</f>
        <v/>
      </c>
      <c r="L256" t="str">
        <f ca="1">IF(L$5,COUNTIFS(Medications!$AN:$AN,ReportAndOutcomeHistory!$A256,Medications!$AP:$AP,1,Medications!$AS:$AS,1,INDIRECT("Medications!$"&amp;$D256&amp;":$"&amp;$D256),1)+ROW()/100000,"")</f>
        <v/>
      </c>
      <c r="M256" t="str">
        <f ca="1">IF(M$5,COUNTIFS(Medications!$AN:$AN,ReportAndOutcomeHistory!$A256,Medications!$AP:$AP,1,Medications!$AS:$AS,1,INDIRECT("Medications!$"&amp;$D256&amp;":$"&amp;$D256),1)+ROW()/100000,"")</f>
        <v/>
      </c>
      <c r="N256" t="str">
        <f ca="1">IF(N$5,COUNTIFS(Medications!$AN:$AN,ReportAndOutcomeHistory!$A256,Medications!$AP:$AP,1,Medications!$AS:$AS,1,INDIRECT("Medications!$"&amp;$D256&amp;":$"&amp;$D256),1)+ROW()/100000,"")</f>
        <v/>
      </c>
      <c r="O256" t="str">
        <f ca="1">IF(O$5,COUNTIFS(Medications!$AN:$AN,ReportAndOutcomeHistory!$A256,Medications!$AP:$AP,1,Medications!$AS:$AS,1,INDIRECT("Medications!$"&amp;$D256&amp;":$"&amp;$D256),1)+ROW()/100000,"")</f>
        <v/>
      </c>
      <c r="P256" t="str">
        <f ca="1">IF(P$5,COUNTIFS(Medications!$AN:$AN,ReportAndOutcomeHistory!$A256,Medications!$AP:$AP,1,Medications!$AS:$AS,1,INDIRECT("Medications!$"&amp;$D256&amp;":$"&amp;$D256),1)+ROW()/100000,"")</f>
        <v/>
      </c>
      <c r="Q256" t="str">
        <f ca="1">IF(Q$5,COUNTIFS(Medications!$AN:$AN,ReportAndOutcomeHistory!$A256,Medications!$AP:$AP,1,Medications!$AS:$AS,1,INDIRECT("Medications!$"&amp;$D256&amp;":$"&amp;$D256),1)+ROW()/100000,"")</f>
        <v/>
      </c>
      <c r="R256" t="str">
        <f ca="1">IF(R$5,COUNTIFS(Medications!$AN:$AN,ReportAndOutcomeHistory!$A256,Medications!$AP:$AP,1,Medications!$AS:$AS,1,INDIRECT("Medications!$"&amp;$D256&amp;":$"&amp;$D256),1)+ROW()/100000,"")</f>
        <v/>
      </c>
    </row>
    <row r="257" spans="1:18" ht="15">
      <c r="A257" t="s">
        <v>40</v>
      </c>
      <c r="B257" t="str">
        <f t="shared" si="41"/>
        <v>Number of medications prescribed to individuals living with dementia for ExpSlumping</v>
      </c>
      <c r="C257" t="s">
        <v>254</v>
      </c>
      <c r="D257" t="str">
        <f>IF($S$3,SUBSTITUTE(ADDRESS(1,MATCH($C257,Medications!$1:$1,0),4),"1",""),"")</f>
        <v/>
      </c>
      <c r="E257" t="s">
        <v>466</v>
      </c>
      <c r="F257" t="str">
        <f ca="1">IF(F$5,COUNTIFS(Medications!$AN:$AN,ReportAndOutcomeHistory!$A257,Medications!$AP:$AP,1,Medications!$AS:$AS,1,INDIRECT("Medications!$"&amp;$D257&amp;":$"&amp;$D257),1)+ROW()/100000,"")</f>
        <v/>
      </c>
      <c r="G257" t="str">
        <f ca="1">IF(G$5,COUNTIFS(Medications!$AN:$AN,ReportAndOutcomeHistory!$A257,Medications!$AP:$AP,1,Medications!$AS:$AS,1,INDIRECT("Medications!$"&amp;$D257&amp;":$"&amp;$D257),1)+ROW()/100000,"")</f>
        <v/>
      </c>
      <c r="H257" t="str">
        <f ca="1">IF(H$5,COUNTIFS(Medications!$AN:$AN,ReportAndOutcomeHistory!$A257,Medications!$AP:$AP,1,Medications!$AS:$AS,1,INDIRECT("Medications!$"&amp;$D257&amp;":$"&amp;$D257),1)+ROW()/100000,"")</f>
        <v/>
      </c>
      <c r="I257" t="str">
        <f ca="1">IF(I$5,COUNTIFS(Medications!$AN:$AN,ReportAndOutcomeHistory!$A257,Medications!$AP:$AP,1,Medications!$AS:$AS,1,INDIRECT("Medications!$"&amp;$D257&amp;":$"&amp;$D257),1)+ROW()/100000,"")</f>
        <v/>
      </c>
      <c r="J257" t="str">
        <f ca="1">IF(J$5,COUNTIFS(Medications!$AN:$AN,ReportAndOutcomeHistory!$A257,Medications!$AP:$AP,1,Medications!$AS:$AS,1,INDIRECT("Medications!$"&amp;$D257&amp;":$"&amp;$D257),1)+ROW()/100000,"")</f>
        <v/>
      </c>
      <c r="K257" t="str">
        <f ca="1">IF(K$5,COUNTIFS(Medications!$AN:$AN,ReportAndOutcomeHistory!$A257,Medications!$AP:$AP,1,Medications!$AS:$AS,1,INDIRECT("Medications!$"&amp;$D257&amp;":$"&amp;$D257),1)+ROW()/100000,"")</f>
        <v/>
      </c>
      <c r="L257" t="str">
        <f ca="1">IF(L$5,COUNTIFS(Medications!$AN:$AN,ReportAndOutcomeHistory!$A257,Medications!$AP:$AP,1,Medications!$AS:$AS,1,INDIRECT("Medications!$"&amp;$D257&amp;":$"&amp;$D257),1)+ROW()/100000,"")</f>
        <v/>
      </c>
      <c r="M257" t="str">
        <f ca="1">IF(M$5,COUNTIFS(Medications!$AN:$AN,ReportAndOutcomeHistory!$A257,Medications!$AP:$AP,1,Medications!$AS:$AS,1,INDIRECT("Medications!$"&amp;$D257&amp;":$"&amp;$D257),1)+ROW()/100000,"")</f>
        <v/>
      </c>
      <c r="N257" t="str">
        <f ca="1">IF(N$5,COUNTIFS(Medications!$AN:$AN,ReportAndOutcomeHistory!$A257,Medications!$AP:$AP,1,Medications!$AS:$AS,1,INDIRECT("Medications!$"&amp;$D257&amp;":$"&amp;$D257),1)+ROW()/100000,"")</f>
        <v/>
      </c>
      <c r="O257" t="str">
        <f ca="1">IF(O$5,COUNTIFS(Medications!$AN:$AN,ReportAndOutcomeHistory!$A257,Medications!$AP:$AP,1,Medications!$AS:$AS,1,INDIRECT("Medications!$"&amp;$D257&amp;":$"&amp;$D257),1)+ROW()/100000,"")</f>
        <v/>
      </c>
      <c r="P257" t="str">
        <f ca="1">IF(P$5,COUNTIFS(Medications!$AN:$AN,ReportAndOutcomeHistory!$A257,Medications!$AP:$AP,1,Medications!$AS:$AS,1,INDIRECT("Medications!$"&amp;$D257&amp;":$"&amp;$D257),1)+ROW()/100000,"")</f>
        <v/>
      </c>
      <c r="Q257" t="str">
        <f ca="1">IF(Q$5,COUNTIFS(Medications!$AN:$AN,ReportAndOutcomeHistory!$A257,Medications!$AP:$AP,1,Medications!$AS:$AS,1,INDIRECT("Medications!$"&amp;$D257&amp;":$"&amp;$D257),1)+ROW()/100000,"")</f>
        <v/>
      </c>
      <c r="R257" t="str">
        <f ca="1">IF(R$5,COUNTIFS(Medications!$AN:$AN,ReportAndOutcomeHistory!$A257,Medications!$AP:$AP,1,Medications!$AS:$AS,1,INDIRECT("Medications!$"&amp;$D257&amp;":$"&amp;$D257),1)+ROW()/100000,"")</f>
        <v/>
      </c>
    </row>
    <row r="258" spans="1:18" ht="15">
      <c r="A258" t="s">
        <v>40</v>
      </c>
      <c r="B258" t="str">
        <f t="shared" si="41"/>
        <v>Number of medications prescribed to individuals living with dementia for ExpAnxiety</v>
      </c>
      <c r="C258" t="s">
        <v>255</v>
      </c>
      <c r="D258" t="str">
        <f>IF($S$3,SUBSTITUTE(ADDRESS(1,MATCH($C258,Medications!$1:$1,0),4),"1",""),"")</f>
        <v/>
      </c>
      <c r="E258" t="s">
        <v>466</v>
      </c>
      <c r="F258" t="str">
        <f ca="1">IF(F$5,COUNTIFS(Medications!$AN:$AN,ReportAndOutcomeHistory!$A258,Medications!$AP:$AP,1,Medications!$AS:$AS,1,INDIRECT("Medications!$"&amp;$D258&amp;":$"&amp;$D258),1)+ROW()/100000,"")</f>
        <v/>
      </c>
      <c r="G258" t="str">
        <f ca="1">IF(G$5,COUNTIFS(Medications!$AN:$AN,ReportAndOutcomeHistory!$A258,Medications!$AP:$AP,1,Medications!$AS:$AS,1,INDIRECT("Medications!$"&amp;$D258&amp;":$"&amp;$D258),1)+ROW()/100000,"")</f>
        <v/>
      </c>
      <c r="H258" t="str">
        <f ca="1">IF(H$5,COUNTIFS(Medications!$AN:$AN,ReportAndOutcomeHistory!$A258,Medications!$AP:$AP,1,Medications!$AS:$AS,1,INDIRECT("Medications!$"&amp;$D258&amp;":$"&amp;$D258),1)+ROW()/100000,"")</f>
        <v/>
      </c>
      <c r="I258" t="str">
        <f ca="1">IF(I$5,COUNTIFS(Medications!$AN:$AN,ReportAndOutcomeHistory!$A258,Medications!$AP:$AP,1,Medications!$AS:$AS,1,INDIRECT("Medications!$"&amp;$D258&amp;":$"&amp;$D258),1)+ROW()/100000,"")</f>
        <v/>
      </c>
      <c r="J258" t="str">
        <f ca="1">IF(J$5,COUNTIFS(Medications!$AN:$AN,ReportAndOutcomeHistory!$A258,Medications!$AP:$AP,1,Medications!$AS:$AS,1,INDIRECT("Medications!$"&amp;$D258&amp;":$"&amp;$D258),1)+ROW()/100000,"")</f>
        <v/>
      </c>
      <c r="K258" t="str">
        <f ca="1">IF(K$5,COUNTIFS(Medications!$AN:$AN,ReportAndOutcomeHistory!$A258,Medications!$AP:$AP,1,Medications!$AS:$AS,1,INDIRECT("Medications!$"&amp;$D258&amp;":$"&amp;$D258),1)+ROW()/100000,"")</f>
        <v/>
      </c>
      <c r="L258" t="str">
        <f ca="1">IF(L$5,COUNTIFS(Medications!$AN:$AN,ReportAndOutcomeHistory!$A258,Medications!$AP:$AP,1,Medications!$AS:$AS,1,INDIRECT("Medications!$"&amp;$D258&amp;":$"&amp;$D258),1)+ROW()/100000,"")</f>
        <v/>
      </c>
      <c r="M258" t="str">
        <f ca="1">IF(M$5,COUNTIFS(Medications!$AN:$AN,ReportAndOutcomeHistory!$A258,Medications!$AP:$AP,1,Medications!$AS:$AS,1,INDIRECT("Medications!$"&amp;$D258&amp;":$"&amp;$D258),1)+ROW()/100000,"")</f>
        <v/>
      </c>
      <c r="N258" t="str">
        <f ca="1">IF(N$5,COUNTIFS(Medications!$AN:$AN,ReportAndOutcomeHistory!$A258,Medications!$AP:$AP,1,Medications!$AS:$AS,1,INDIRECT("Medications!$"&amp;$D258&amp;":$"&amp;$D258),1)+ROW()/100000,"")</f>
        <v/>
      </c>
      <c r="O258" t="str">
        <f ca="1">IF(O$5,COUNTIFS(Medications!$AN:$AN,ReportAndOutcomeHistory!$A258,Medications!$AP:$AP,1,Medications!$AS:$AS,1,INDIRECT("Medications!$"&amp;$D258&amp;":$"&amp;$D258),1)+ROW()/100000,"")</f>
        <v/>
      </c>
      <c r="P258" t="str">
        <f ca="1">IF(P$5,COUNTIFS(Medications!$AN:$AN,ReportAndOutcomeHistory!$A258,Medications!$AP:$AP,1,Medications!$AS:$AS,1,INDIRECT("Medications!$"&amp;$D258&amp;":$"&amp;$D258),1)+ROW()/100000,"")</f>
        <v/>
      </c>
      <c r="Q258" t="str">
        <f ca="1">IF(Q$5,COUNTIFS(Medications!$AN:$AN,ReportAndOutcomeHistory!$A258,Medications!$AP:$AP,1,Medications!$AS:$AS,1,INDIRECT("Medications!$"&amp;$D258&amp;":$"&amp;$D258),1)+ROW()/100000,"")</f>
        <v/>
      </c>
      <c r="R258" t="str">
        <f ca="1">IF(R$5,COUNTIFS(Medications!$AN:$AN,ReportAndOutcomeHistory!$A258,Medications!$AP:$AP,1,Medications!$AS:$AS,1,INDIRECT("Medications!$"&amp;$D258&amp;":$"&amp;$D258),1)+ROW()/100000,"")</f>
        <v/>
      </c>
    </row>
    <row r="259" spans="1:18" ht="15">
      <c r="A259" t="s">
        <v>40</v>
      </c>
      <c r="B259" t="str">
        <f t="shared" si="41"/>
        <v>Number of medications prescribed to individuals living with dementia for ExpVerbalAgitation</v>
      </c>
      <c r="C259" t="s">
        <v>256</v>
      </c>
      <c r="D259" t="str">
        <f>IF($S$3,SUBSTITUTE(ADDRESS(1,MATCH($C259,Medications!$1:$1,0),4),"1",""),"")</f>
        <v/>
      </c>
      <c r="E259" t="s">
        <v>466</v>
      </c>
      <c r="F259" t="str">
        <f ca="1">IF(F$5,COUNTIFS(Medications!$AN:$AN,ReportAndOutcomeHistory!$A259,Medications!$AP:$AP,1,Medications!$AS:$AS,1,INDIRECT("Medications!$"&amp;$D259&amp;":$"&amp;$D259),1)+ROW()/100000,"")</f>
        <v/>
      </c>
      <c r="G259" t="str">
        <f ca="1">IF(G$5,COUNTIFS(Medications!$AN:$AN,ReportAndOutcomeHistory!$A259,Medications!$AP:$AP,1,Medications!$AS:$AS,1,INDIRECT("Medications!$"&amp;$D259&amp;":$"&amp;$D259),1)+ROW()/100000,"")</f>
        <v/>
      </c>
      <c r="H259" t="str">
        <f ca="1">IF(H$5,COUNTIFS(Medications!$AN:$AN,ReportAndOutcomeHistory!$A259,Medications!$AP:$AP,1,Medications!$AS:$AS,1,INDIRECT("Medications!$"&amp;$D259&amp;":$"&amp;$D259),1)+ROW()/100000,"")</f>
        <v/>
      </c>
      <c r="I259" t="str">
        <f ca="1">IF(I$5,COUNTIFS(Medications!$AN:$AN,ReportAndOutcomeHistory!$A259,Medications!$AP:$AP,1,Medications!$AS:$AS,1,INDIRECT("Medications!$"&amp;$D259&amp;":$"&amp;$D259),1)+ROW()/100000,"")</f>
        <v/>
      </c>
      <c r="J259" t="str">
        <f ca="1">IF(J$5,COUNTIFS(Medications!$AN:$AN,ReportAndOutcomeHistory!$A259,Medications!$AP:$AP,1,Medications!$AS:$AS,1,INDIRECT("Medications!$"&amp;$D259&amp;":$"&amp;$D259),1)+ROW()/100000,"")</f>
        <v/>
      </c>
      <c r="K259" t="str">
        <f ca="1">IF(K$5,COUNTIFS(Medications!$AN:$AN,ReportAndOutcomeHistory!$A259,Medications!$AP:$AP,1,Medications!$AS:$AS,1,INDIRECT("Medications!$"&amp;$D259&amp;":$"&amp;$D259),1)+ROW()/100000,"")</f>
        <v/>
      </c>
      <c r="L259" t="str">
        <f ca="1">IF(L$5,COUNTIFS(Medications!$AN:$AN,ReportAndOutcomeHistory!$A259,Medications!$AP:$AP,1,Medications!$AS:$AS,1,INDIRECT("Medications!$"&amp;$D259&amp;":$"&amp;$D259),1)+ROW()/100000,"")</f>
        <v/>
      </c>
      <c r="M259" t="str">
        <f ca="1">IF(M$5,COUNTIFS(Medications!$AN:$AN,ReportAndOutcomeHistory!$A259,Medications!$AP:$AP,1,Medications!$AS:$AS,1,INDIRECT("Medications!$"&amp;$D259&amp;":$"&amp;$D259),1)+ROW()/100000,"")</f>
        <v/>
      </c>
      <c r="N259" t="str">
        <f ca="1">IF(N$5,COUNTIFS(Medications!$AN:$AN,ReportAndOutcomeHistory!$A259,Medications!$AP:$AP,1,Medications!$AS:$AS,1,INDIRECT("Medications!$"&amp;$D259&amp;":$"&amp;$D259),1)+ROW()/100000,"")</f>
        <v/>
      </c>
      <c r="O259" t="str">
        <f ca="1">IF(O$5,COUNTIFS(Medications!$AN:$AN,ReportAndOutcomeHistory!$A259,Medications!$AP:$AP,1,Medications!$AS:$AS,1,INDIRECT("Medications!$"&amp;$D259&amp;":$"&amp;$D259),1)+ROW()/100000,"")</f>
        <v/>
      </c>
      <c r="P259" t="str">
        <f ca="1">IF(P$5,COUNTIFS(Medications!$AN:$AN,ReportAndOutcomeHistory!$A259,Medications!$AP:$AP,1,Medications!$AS:$AS,1,INDIRECT("Medications!$"&amp;$D259&amp;":$"&amp;$D259),1)+ROW()/100000,"")</f>
        <v/>
      </c>
      <c r="Q259" t="str">
        <f ca="1">IF(Q$5,COUNTIFS(Medications!$AN:$AN,ReportAndOutcomeHistory!$A259,Medications!$AP:$AP,1,Medications!$AS:$AS,1,INDIRECT("Medications!$"&amp;$D259&amp;":$"&amp;$D259),1)+ROW()/100000,"")</f>
        <v/>
      </c>
      <c r="R259" t="str">
        <f ca="1">IF(R$5,COUNTIFS(Medications!$AN:$AN,ReportAndOutcomeHistory!$A259,Medications!$AP:$AP,1,Medications!$AS:$AS,1,INDIRECT("Medications!$"&amp;$D259&amp;":$"&amp;$D259),1)+ROW()/100000,"")</f>
        <v/>
      </c>
    </row>
    <row r="260" spans="1:18" ht="15">
      <c r="A260" t="s">
        <v>40</v>
      </c>
      <c r="B260" t="str">
        <f t="shared" si="41"/>
        <v>Number of medications prescribed to individuals living with dementia for ExpPhysicalAgitation</v>
      </c>
      <c r="C260" t="s">
        <v>257</v>
      </c>
      <c r="D260" t="str">
        <f>IF($S$3,SUBSTITUTE(ADDRESS(1,MATCH($C260,Medications!$1:$1,0),4),"1",""),"")</f>
        <v/>
      </c>
      <c r="E260" t="s">
        <v>466</v>
      </c>
      <c r="F260" t="str">
        <f ca="1">IF(F$5,COUNTIFS(Medications!$AN:$AN,ReportAndOutcomeHistory!$A260,Medications!$AP:$AP,1,Medications!$AS:$AS,1,INDIRECT("Medications!$"&amp;$D260&amp;":$"&amp;$D260),1)+ROW()/100000,"")</f>
        <v/>
      </c>
      <c r="G260" t="str">
        <f ca="1">IF(G$5,COUNTIFS(Medications!$AN:$AN,ReportAndOutcomeHistory!$A260,Medications!$AP:$AP,1,Medications!$AS:$AS,1,INDIRECT("Medications!$"&amp;$D260&amp;":$"&amp;$D260),1)+ROW()/100000,"")</f>
        <v/>
      </c>
      <c r="H260" t="str">
        <f ca="1">IF(H$5,COUNTIFS(Medications!$AN:$AN,ReportAndOutcomeHistory!$A260,Medications!$AP:$AP,1,Medications!$AS:$AS,1,INDIRECT("Medications!$"&amp;$D260&amp;":$"&amp;$D260),1)+ROW()/100000,"")</f>
        <v/>
      </c>
      <c r="I260" t="str">
        <f ca="1">IF(I$5,COUNTIFS(Medications!$AN:$AN,ReportAndOutcomeHistory!$A260,Medications!$AP:$AP,1,Medications!$AS:$AS,1,INDIRECT("Medications!$"&amp;$D260&amp;":$"&amp;$D260),1)+ROW()/100000,"")</f>
        <v/>
      </c>
      <c r="J260" t="str">
        <f ca="1">IF(J$5,COUNTIFS(Medications!$AN:$AN,ReportAndOutcomeHistory!$A260,Medications!$AP:$AP,1,Medications!$AS:$AS,1,INDIRECT("Medications!$"&amp;$D260&amp;":$"&amp;$D260),1)+ROW()/100000,"")</f>
        <v/>
      </c>
      <c r="K260" t="str">
        <f ca="1">IF(K$5,COUNTIFS(Medications!$AN:$AN,ReportAndOutcomeHistory!$A260,Medications!$AP:$AP,1,Medications!$AS:$AS,1,INDIRECT("Medications!$"&amp;$D260&amp;":$"&amp;$D260),1)+ROW()/100000,"")</f>
        <v/>
      </c>
      <c r="L260" t="str">
        <f ca="1">IF(L$5,COUNTIFS(Medications!$AN:$AN,ReportAndOutcomeHistory!$A260,Medications!$AP:$AP,1,Medications!$AS:$AS,1,INDIRECT("Medications!$"&amp;$D260&amp;":$"&amp;$D260),1)+ROW()/100000,"")</f>
        <v/>
      </c>
      <c r="M260" t="str">
        <f ca="1">IF(M$5,COUNTIFS(Medications!$AN:$AN,ReportAndOutcomeHistory!$A260,Medications!$AP:$AP,1,Medications!$AS:$AS,1,INDIRECT("Medications!$"&amp;$D260&amp;":$"&amp;$D260),1)+ROW()/100000,"")</f>
        <v/>
      </c>
      <c r="N260" t="str">
        <f ca="1">IF(N$5,COUNTIFS(Medications!$AN:$AN,ReportAndOutcomeHistory!$A260,Medications!$AP:$AP,1,Medications!$AS:$AS,1,INDIRECT("Medications!$"&amp;$D260&amp;":$"&amp;$D260),1)+ROW()/100000,"")</f>
        <v/>
      </c>
      <c r="O260" t="str">
        <f ca="1">IF(O$5,COUNTIFS(Medications!$AN:$AN,ReportAndOutcomeHistory!$A260,Medications!$AP:$AP,1,Medications!$AS:$AS,1,INDIRECT("Medications!$"&amp;$D260&amp;":$"&amp;$D260),1)+ROW()/100000,"")</f>
        <v/>
      </c>
      <c r="P260" t="str">
        <f ca="1">IF(P$5,COUNTIFS(Medications!$AN:$AN,ReportAndOutcomeHistory!$A260,Medications!$AP:$AP,1,Medications!$AS:$AS,1,INDIRECT("Medications!$"&amp;$D260&amp;":$"&amp;$D260),1)+ROW()/100000,"")</f>
        <v/>
      </c>
      <c r="Q260" t="str">
        <f ca="1">IF(Q$5,COUNTIFS(Medications!$AN:$AN,ReportAndOutcomeHistory!$A260,Medications!$AP:$AP,1,Medications!$AS:$AS,1,INDIRECT("Medications!$"&amp;$D260&amp;":$"&amp;$D260),1)+ROW()/100000,"")</f>
        <v/>
      </c>
      <c r="R260" t="str">
        <f ca="1">IF(R$5,COUNTIFS(Medications!$AN:$AN,ReportAndOutcomeHistory!$A260,Medications!$AP:$AP,1,Medications!$AS:$AS,1,INDIRECT("Medications!$"&amp;$D260&amp;":$"&amp;$D260),1)+ROW()/100000,"")</f>
        <v/>
      </c>
    </row>
    <row r="261" spans="1:18" ht="15">
      <c r="A261" t="s">
        <v>40</v>
      </c>
      <c r="B261" t="str">
        <f t="shared" si="41"/>
        <v>Number of medications prescribed to individuals living with dementia for ExpInsomnia</v>
      </c>
      <c r="C261" t="s">
        <v>258</v>
      </c>
      <c r="D261" t="str">
        <f>IF($S$3,SUBSTITUTE(ADDRESS(1,MATCH($C261,Medications!$1:$1,0),4),"1",""),"")</f>
        <v/>
      </c>
      <c r="E261" t="s">
        <v>466</v>
      </c>
      <c r="F261" t="str">
        <f ca="1">IF(F$5,COUNTIFS(Medications!$AN:$AN,ReportAndOutcomeHistory!$A261,Medications!$AP:$AP,1,Medications!$AS:$AS,1,INDIRECT("Medications!$"&amp;$D261&amp;":$"&amp;$D261),1)+ROW()/100000,"")</f>
        <v/>
      </c>
      <c r="G261" t="str">
        <f ca="1">IF(G$5,COUNTIFS(Medications!$AN:$AN,ReportAndOutcomeHistory!$A261,Medications!$AP:$AP,1,Medications!$AS:$AS,1,INDIRECT("Medications!$"&amp;$D261&amp;":$"&amp;$D261),1)+ROW()/100000,"")</f>
        <v/>
      </c>
      <c r="H261" t="str">
        <f ca="1">IF(H$5,COUNTIFS(Medications!$AN:$AN,ReportAndOutcomeHistory!$A261,Medications!$AP:$AP,1,Medications!$AS:$AS,1,INDIRECT("Medications!$"&amp;$D261&amp;":$"&amp;$D261),1)+ROW()/100000,"")</f>
        <v/>
      </c>
      <c r="I261" t="str">
        <f ca="1">IF(I$5,COUNTIFS(Medications!$AN:$AN,ReportAndOutcomeHistory!$A261,Medications!$AP:$AP,1,Medications!$AS:$AS,1,INDIRECT("Medications!$"&amp;$D261&amp;":$"&amp;$D261),1)+ROW()/100000,"")</f>
        <v/>
      </c>
      <c r="J261" t="str">
        <f ca="1">IF(J$5,COUNTIFS(Medications!$AN:$AN,ReportAndOutcomeHistory!$A261,Medications!$AP:$AP,1,Medications!$AS:$AS,1,INDIRECT("Medications!$"&amp;$D261&amp;":$"&amp;$D261),1)+ROW()/100000,"")</f>
        <v/>
      </c>
      <c r="K261" t="str">
        <f ca="1">IF(K$5,COUNTIFS(Medications!$AN:$AN,ReportAndOutcomeHistory!$A261,Medications!$AP:$AP,1,Medications!$AS:$AS,1,INDIRECT("Medications!$"&amp;$D261&amp;":$"&amp;$D261),1)+ROW()/100000,"")</f>
        <v/>
      </c>
      <c r="L261" t="str">
        <f ca="1">IF(L$5,COUNTIFS(Medications!$AN:$AN,ReportAndOutcomeHistory!$A261,Medications!$AP:$AP,1,Medications!$AS:$AS,1,INDIRECT("Medications!$"&amp;$D261&amp;":$"&amp;$D261),1)+ROW()/100000,"")</f>
        <v/>
      </c>
      <c r="M261" t="str">
        <f ca="1">IF(M$5,COUNTIFS(Medications!$AN:$AN,ReportAndOutcomeHistory!$A261,Medications!$AP:$AP,1,Medications!$AS:$AS,1,INDIRECT("Medications!$"&amp;$D261&amp;":$"&amp;$D261),1)+ROW()/100000,"")</f>
        <v/>
      </c>
      <c r="N261" t="str">
        <f ca="1">IF(N$5,COUNTIFS(Medications!$AN:$AN,ReportAndOutcomeHistory!$A261,Medications!$AP:$AP,1,Medications!$AS:$AS,1,INDIRECT("Medications!$"&amp;$D261&amp;":$"&amp;$D261),1)+ROW()/100000,"")</f>
        <v/>
      </c>
      <c r="O261" t="str">
        <f ca="1">IF(O$5,COUNTIFS(Medications!$AN:$AN,ReportAndOutcomeHistory!$A261,Medications!$AP:$AP,1,Medications!$AS:$AS,1,INDIRECT("Medications!$"&amp;$D261&amp;":$"&amp;$D261),1)+ROW()/100000,"")</f>
        <v/>
      </c>
      <c r="P261" t="str">
        <f ca="1">IF(P$5,COUNTIFS(Medications!$AN:$AN,ReportAndOutcomeHistory!$A261,Medications!$AP:$AP,1,Medications!$AS:$AS,1,INDIRECT("Medications!$"&amp;$D261&amp;":$"&amp;$D261),1)+ROW()/100000,"")</f>
        <v/>
      </c>
      <c r="Q261" t="str">
        <f ca="1">IF(Q$5,COUNTIFS(Medications!$AN:$AN,ReportAndOutcomeHistory!$A261,Medications!$AP:$AP,1,Medications!$AS:$AS,1,INDIRECT("Medications!$"&amp;$D261&amp;":$"&amp;$D261),1)+ROW()/100000,"")</f>
        <v/>
      </c>
      <c r="R261" t="str">
        <f ca="1">IF(R$5,COUNTIFS(Medications!$AN:$AN,ReportAndOutcomeHistory!$A261,Medications!$AP:$AP,1,Medications!$AS:$AS,1,INDIRECT("Medications!$"&amp;$D261&amp;":$"&amp;$D261),1)+ROW()/100000,"")</f>
        <v/>
      </c>
    </row>
    <row r="262" spans="1:18" ht="15">
      <c r="A262" t="s">
        <v>40</v>
      </c>
      <c r="B262" t="str">
        <f t="shared" si="41"/>
        <v>Number of medications prescribed to individuals living with dementia for ExpNudity</v>
      </c>
      <c r="C262" t="s">
        <v>259</v>
      </c>
      <c r="D262" t="str">
        <f>IF($S$3,SUBSTITUTE(ADDRESS(1,MATCH($C262,Medications!$1:$1,0),4),"1",""),"")</f>
        <v/>
      </c>
      <c r="E262" t="s">
        <v>466</v>
      </c>
      <c r="F262" t="str">
        <f ca="1">IF(F$5,COUNTIFS(Medications!$AN:$AN,ReportAndOutcomeHistory!$A262,Medications!$AP:$AP,1,Medications!$AS:$AS,1,INDIRECT("Medications!$"&amp;$D262&amp;":$"&amp;$D262),1)+ROW()/100000,"")</f>
        <v/>
      </c>
      <c r="G262" t="str">
        <f ca="1">IF(G$5,COUNTIFS(Medications!$AN:$AN,ReportAndOutcomeHistory!$A262,Medications!$AP:$AP,1,Medications!$AS:$AS,1,INDIRECT("Medications!$"&amp;$D262&amp;":$"&amp;$D262),1)+ROW()/100000,"")</f>
        <v/>
      </c>
      <c r="H262" t="str">
        <f ca="1">IF(H$5,COUNTIFS(Medications!$AN:$AN,ReportAndOutcomeHistory!$A262,Medications!$AP:$AP,1,Medications!$AS:$AS,1,INDIRECT("Medications!$"&amp;$D262&amp;":$"&amp;$D262),1)+ROW()/100000,"")</f>
        <v/>
      </c>
      <c r="I262" t="str">
        <f ca="1">IF(I$5,COUNTIFS(Medications!$AN:$AN,ReportAndOutcomeHistory!$A262,Medications!$AP:$AP,1,Medications!$AS:$AS,1,INDIRECT("Medications!$"&amp;$D262&amp;":$"&amp;$D262),1)+ROW()/100000,"")</f>
        <v/>
      </c>
      <c r="J262" t="str">
        <f ca="1">IF(J$5,COUNTIFS(Medications!$AN:$AN,ReportAndOutcomeHistory!$A262,Medications!$AP:$AP,1,Medications!$AS:$AS,1,INDIRECT("Medications!$"&amp;$D262&amp;":$"&amp;$D262),1)+ROW()/100000,"")</f>
        <v/>
      </c>
      <c r="K262" t="str">
        <f ca="1">IF(K$5,COUNTIFS(Medications!$AN:$AN,ReportAndOutcomeHistory!$A262,Medications!$AP:$AP,1,Medications!$AS:$AS,1,INDIRECT("Medications!$"&amp;$D262&amp;":$"&amp;$D262),1)+ROW()/100000,"")</f>
        <v/>
      </c>
      <c r="L262" t="str">
        <f ca="1">IF(L$5,COUNTIFS(Medications!$AN:$AN,ReportAndOutcomeHistory!$A262,Medications!$AP:$AP,1,Medications!$AS:$AS,1,INDIRECT("Medications!$"&amp;$D262&amp;":$"&amp;$D262),1)+ROW()/100000,"")</f>
        <v/>
      </c>
      <c r="M262" t="str">
        <f ca="1">IF(M$5,COUNTIFS(Medications!$AN:$AN,ReportAndOutcomeHistory!$A262,Medications!$AP:$AP,1,Medications!$AS:$AS,1,INDIRECT("Medications!$"&amp;$D262&amp;":$"&amp;$D262),1)+ROW()/100000,"")</f>
        <v/>
      </c>
      <c r="N262" t="str">
        <f ca="1">IF(N$5,COUNTIFS(Medications!$AN:$AN,ReportAndOutcomeHistory!$A262,Medications!$AP:$AP,1,Medications!$AS:$AS,1,INDIRECT("Medications!$"&amp;$D262&amp;":$"&amp;$D262),1)+ROW()/100000,"")</f>
        <v/>
      </c>
      <c r="O262" t="str">
        <f ca="1">IF(O$5,COUNTIFS(Medications!$AN:$AN,ReportAndOutcomeHistory!$A262,Medications!$AP:$AP,1,Medications!$AS:$AS,1,INDIRECT("Medications!$"&amp;$D262&amp;":$"&amp;$D262),1)+ROW()/100000,"")</f>
        <v/>
      </c>
      <c r="P262" t="str">
        <f ca="1">IF(P$5,COUNTIFS(Medications!$AN:$AN,ReportAndOutcomeHistory!$A262,Medications!$AP:$AP,1,Medications!$AS:$AS,1,INDIRECT("Medications!$"&amp;$D262&amp;":$"&amp;$D262),1)+ROW()/100000,"")</f>
        <v/>
      </c>
      <c r="Q262" t="str">
        <f ca="1">IF(Q$5,COUNTIFS(Medications!$AN:$AN,ReportAndOutcomeHistory!$A262,Medications!$AP:$AP,1,Medications!$AS:$AS,1,INDIRECT("Medications!$"&amp;$D262&amp;":$"&amp;$D262),1)+ROW()/100000,"")</f>
        <v/>
      </c>
      <c r="R262" t="str">
        <f ca="1">IF(R$5,COUNTIFS(Medications!$AN:$AN,ReportAndOutcomeHistory!$A262,Medications!$AP:$AP,1,Medications!$AS:$AS,1,INDIRECT("Medications!$"&amp;$D262&amp;":$"&amp;$D262),1)+ROW()/100000,"")</f>
        <v/>
      </c>
    </row>
    <row r="263" spans="1:18" ht="15">
      <c r="A263" t="s">
        <v>40</v>
      </c>
      <c r="B263" t="str">
        <f t="shared" si="41"/>
        <v>Number of medications prescribed to individuals living with dementia for ExpSexualInappropriateness</v>
      </c>
      <c r="C263" t="s">
        <v>260</v>
      </c>
      <c r="D263" t="str">
        <f>IF($S$3,SUBSTITUTE(ADDRESS(1,MATCH($C263,Medications!$1:$1,0),4),"1",""),"")</f>
        <v/>
      </c>
      <c r="E263" t="s">
        <v>466</v>
      </c>
      <c r="F263" t="str">
        <f ca="1">IF(F$5,COUNTIFS(Medications!$AN:$AN,ReportAndOutcomeHistory!$A263,Medications!$AP:$AP,1,Medications!$AS:$AS,1,INDIRECT("Medications!$"&amp;$D263&amp;":$"&amp;$D263),1)+ROW()/100000,"")</f>
        <v/>
      </c>
      <c r="G263" t="str">
        <f ca="1">IF(G$5,COUNTIFS(Medications!$AN:$AN,ReportAndOutcomeHistory!$A263,Medications!$AP:$AP,1,Medications!$AS:$AS,1,INDIRECT("Medications!$"&amp;$D263&amp;":$"&amp;$D263),1)+ROW()/100000,"")</f>
        <v/>
      </c>
      <c r="H263" t="str">
        <f ca="1">IF(H$5,COUNTIFS(Medications!$AN:$AN,ReportAndOutcomeHistory!$A263,Medications!$AP:$AP,1,Medications!$AS:$AS,1,INDIRECT("Medications!$"&amp;$D263&amp;":$"&amp;$D263),1)+ROW()/100000,"")</f>
        <v/>
      </c>
      <c r="I263" t="str">
        <f ca="1">IF(I$5,COUNTIFS(Medications!$AN:$AN,ReportAndOutcomeHistory!$A263,Medications!$AP:$AP,1,Medications!$AS:$AS,1,INDIRECT("Medications!$"&amp;$D263&amp;":$"&amp;$D263),1)+ROW()/100000,"")</f>
        <v/>
      </c>
      <c r="J263" t="str">
        <f ca="1">IF(J$5,COUNTIFS(Medications!$AN:$AN,ReportAndOutcomeHistory!$A263,Medications!$AP:$AP,1,Medications!$AS:$AS,1,INDIRECT("Medications!$"&amp;$D263&amp;":$"&amp;$D263),1)+ROW()/100000,"")</f>
        <v/>
      </c>
      <c r="K263" t="str">
        <f ca="1">IF(K$5,COUNTIFS(Medications!$AN:$AN,ReportAndOutcomeHistory!$A263,Medications!$AP:$AP,1,Medications!$AS:$AS,1,INDIRECT("Medications!$"&amp;$D263&amp;":$"&amp;$D263),1)+ROW()/100000,"")</f>
        <v/>
      </c>
      <c r="L263" t="str">
        <f ca="1">IF(L$5,COUNTIFS(Medications!$AN:$AN,ReportAndOutcomeHistory!$A263,Medications!$AP:$AP,1,Medications!$AS:$AS,1,INDIRECT("Medications!$"&amp;$D263&amp;":$"&amp;$D263),1)+ROW()/100000,"")</f>
        <v/>
      </c>
      <c r="M263" t="str">
        <f ca="1">IF(M$5,COUNTIFS(Medications!$AN:$AN,ReportAndOutcomeHistory!$A263,Medications!$AP:$AP,1,Medications!$AS:$AS,1,INDIRECT("Medications!$"&amp;$D263&amp;":$"&amp;$D263),1)+ROW()/100000,"")</f>
        <v/>
      </c>
      <c r="N263" t="str">
        <f ca="1">IF(N$5,COUNTIFS(Medications!$AN:$AN,ReportAndOutcomeHistory!$A263,Medications!$AP:$AP,1,Medications!$AS:$AS,1,INDIRECT("Medications!$"&amp;$D263&amp;":$"&amp;$D263),1)+ROW()/100000,"")</f>
        <v/>
      </c>
      <c r="O263" t="str">
        <f ca="1">IF(O$5,COUNTIFS(Medications!$AN:$AN,ReportAndOutcomeHistory!$A263,Medications!$AP:$AP,1,Medications!$AS:$AS,1,INDIRECT("Medications!$"&amp;$D263&amp;":$"&amp;$D263),1)+ROW()/100000,"")</f>
        <v/>
      </c>
      <c r="P263" t="str">
        <f ca="1">IF(P$5,COUNTIFS(Medications!$AN:$AN,ReportAndOutcomeHistory!$A263,Medications!$AP:$AP,1,Medications!$AS:$AS,1,INDIRECT("Medications!$"&amp;$D263&amp;":$"&amp;$D263),1)+ROW()/100000,"")</f>
        <v/>
      </c>
      <c r="Q263" t="str">
        <f ca="1">IF(Q$5,COUNTIFS(Medications!$AN:$AN,ReportAndOutcomeHistory!$A263,Medications!$AP:$AP,1,Medications!$AS:$AS,1,INDIRECT("Medications!$"&amp;$D263&amp;":$"&amp;$D263),1)+ROW()/100000,"")</f>
        <v/>
      </c>
      <c r="R263" t="str">
        <f ca="1">IF(R$5,COUNTIFS(Medications!$AN:$AN,ReportAndOutcomeHistory!$A263,Medications!$AP:$AP,1,Medications!$AS:$AS,1,INDIRECT("Medications!$"&amp;$D263&amp;":$"&amp;$D263),1)+ROW()/100000,"")</f>
        <v/>
      </c>
    </row>
    <row r="264" spans="1:18" ht="15">
      <c r="A264" t="s">
        <v>40</v>
      </c>
      <c r="B264" t="str">
        <f t="shared" si="41"/>
        <v>Number of medications prescribed to individuals living with dementia for ExpDelusions</v>
      </c>
      <c r="C264" t="s">
        <v>261</v>
      </c>
      <c r="D264" t="str">
        <f>IF($S$3,SUBSTITUTE(ADDRESS(1,MATCH($C264,Medications!$1:$1,0),4),"1",""),"")</f>
        <v/>
      </c>
      <c r="E264" t="s">
        <v>466</v>
      </c>
      <c r="F264" t="str">
        <f ca="1">IF(F$5,COUNTIFS(Medications!$AN:$AN,ReportAndOutcomeHistory!$A264,Medications!$AP:$AP,1,Medications!$AS:$AS,1,INDIRECT("Medications!$"&amp;$D264&amp;":$"&amp;$D264),1)+ROW()/100000,"")</f>
        <v/>
      </c>
      <c r="G264" t="str">
        <f ca="1">IF(G$5,COUNTIFS(Medications!$AN:$AN,ReportAndOutcomeHistory!$A264,Medications!$AP:$AP,1,Medications!$AS:$AS,1,INDIRECT("Medications!$"&amp;$D264&amp;":$"&amp;$D264),1)+ROW()/100000,"")</f>
        <v/>
      </c>
      <c r="H264" t="str">
        <f ca="1">IF(H$5,COUNTIFS(Medications!$AN:$AN,ReportAndOutcomeHistory!$A264,Medications!$AP:$AP,1,Medications!$AS:$AS,1,INDIRECT("Medications!$"&amp;$D264&amp;":$"&amp;$D264),1)+ROW()/100000,"")</f>
        <v/>
      </c>
      <c r="I264" t="str">
        <f ca="1">IF(I$5,COUNTIFS(Medications!$AN:$AN,ReportAndOutcomeHistory!$A264,Medications!$AP:$AP,1,Medications!$AS:$AS,1,INDIRECT("Medications!$"&amp;$D264&amp;":$"&amp;$D264),1)+ROW()/100000,"")</f>
        <v/>
      </c>
      <c r="J264" t="str">
        <f ca="1">IF(J$5,COUNTIFS(Medications!$AN:$AN,ReportAndOutcomeHistory!$A264,Medications!$AP:$AP,1,Medications!$AS:$AS,1,INDIRECT("Medications!$"&amp;$D264&amp;":$"&amp;$D264),1)+ROW()/100000,"")</f>
        <v/>
      </c>
      <c r="K264" t="str">
        <f ca="1">IF(K$5,COUNTIFS(Medications!$AN:$AN,ReportAndOutcomeHistory!$A264,Medications!$AP:$AP,1,Medications!$AS:$AS,1,INDIRECT("Medications!$"&amp;$D264&amp;":$"&amp;$D264),1)+ROW()/100000,"")</f>
        <v/>
      </c>
      <c r="L264" t="str">
        <f ca="1">IF(L$5,COUNTIFS(Medications!$AN:$AN,ReportAndOutcomeHistory!$A264,Medications!$AP:$AP,1,Medications!$AS:$AS,1,INDIRECT("Medications!$"&amp;$D264&amp;":$"&amp;$D264),1)+ROW()/100000,"")</f>
        <v/>
      </c>
      <c r="M264" t="str">
        <f ca="1">IF(M$5,COUNTIFS(Medications!$AN:$AN,ReportAndOutcomeHistory!$A264,Medications!$AP:$AP,1,Medications!$AS:$AS,1,INDIRECT("Medications!$"&amp;$D264&amp;":$"&amp;$D264),1)+ROW()/100000,"")</f>
        <v/>
      </c>
      <c r="N264" t="str">
        <f ca="1">IF(N$5,COUNTIFS(Medications!$AN:$AN,ReportAndOutcomeHistory!$A264,Medications!$AP:$AP,1,Medications!$AS:$AS,1,INDIRECT("Medications!$"&amp;$D264&amp;":$"&amp;$D264),1)+ROW()/100000,"")</f>
        <v/>
      </c>
      <c r="O264" t="str">
        <f ca="1">IF(O$5,COUNTIFS(Medications!$AN:$AN,ReportAndOutcomeHistory!$A264,Medications!$AP:$AP,1,Medications!$AS:$AS,1,INDIRECT("Medications!$"&amp;$D264&amp;":$"&amp;$D264),1)+ROW()/100000,"")</f>
        <v/>
      </c>
      <c r="P264" t="str">
        <f ca="1">IF(P$5,COUNTIFS(Medications!$AN:$AN,ReportAndOutcomeHistory!$A264,Medications!$AP:$AP,1,Medications!$AS:$AS,1,INDIRECT("Medications!$"&amp;$D264&amp;":$"&amp;$D264),1)+ROW()/100000,"")</f>
        <v/>
      </c>
      <c r="Q264" t="str">
        <f ca="1">IF(Q$5,COUNTIFS(Medications!$AN:$AN,ReportAndOutcomeHistory!$A264,Medications!$AP:$AP,1,Medications!$AS:$AS,1,INDIRECT("Medications!$"&amp;$D264&amp;":$"&amp;$D264),1)+ROW()/100000,"")</f>
        <v/>
      </c>
      <c r="R264" t="str">
        <f ca="1">IF(R$5,COUNTIFS(Medications!$AN:$AN,ReportAndOutcomeHistory!$A264,Medications!$AP:$AP,1,Medications!$AS:$AS,1,INDIRECT("Medications!$"&amp;$D264&amp;":$"&amp;$D264),1)+ROW()/100000,"")</f>
        <v/>
      </c>
    </row>
    <row r="265" spans="1:18" ht="15">
      <c r="A265" t="s">
        <v>40</v>
      </c>
      <c r="B265" t="str">
        <f t="shared" si="41"/>
        <v>Number of medications prescribed to individuals living with dementia for ExpHallucinations</v>
      </c>
      <c r="C265" t="s">
        <v>262</v>
      </c>
      <c r="D265" t="str">
        <f>IF($S$3,SUBSTITUTE(ADDRESS(1,MATCH($C265,Medications!$1:$1,0),4),"1",""),"")</f>
        <v/>
      </c>
      <c r="E265" t="s">
        <v>466</v>
      </c>
      <c r="F265" t="str">
        <f ca="1">IF(F$5,COUNTIFS(Medications!$AN:$AN,ReportAndOutcomeHistory!$A265,Medications!$AP:$AP,1,Medications!$AS:$AS,1,INDIRECT("Medications!$"&amp;$D265&amp;":$"&amp;$D265),1)+ROW()/100000,"")</f>
        <v/>
      </c>
      <c r="G265" t="str">
        <f ca="1">IF(G$5,COUNTIFS(Medications!$AN:$AN,ReportAndOutcomeHistory!$A265,Medications!$AP:$AP,1,Medications!$AS:$AS,1,INDIRECT("Medications!$"&amp;$D265&amp;":$"&amp;$D265),1)+ROW()/100000,"")</f>
        <v/>
      </c>
      <c r="H265" t="str">
        <f ca="1">IF(H$5,COUNTIFS(Medications!$AN:$AN,ReportAndOutcomeHistory!$A265,Medications!$AP:$AP,1,Medications!$AS:$AS,1,INDIRECT("Medications!$"&amp;$D265&amp;":$"&amp;$D265),1)+ROW()/100000,"")</f>
        <v/>
      </c>
      <c r="I265" t="str">
        <f ca="1">IF(I$5,COUNTIFS(Medications!$AN:$AN,ReportAndOutcomeHistory!$A265,Medications!$AP:$AP,1,Medications!$AS:$AS,1,INDIRECT("Medications!$"&amp;$D265&amp;":$"&amp;$D265),1)+ROW()/100000,"")</f>
        <v/>
      </c>
      <c r="J265" t="str">
        <f ca="1">IF(J$5,COUNTIFS(Medications!$AN:$AN,ReportAndOutcomeHistory!$A265,Medications!$AP:$AP,1,Medications!$AS:$AS,1,INDIRECT("Medications!$"&amp;$D265&amp;":$"&amp;$D265),1)+ROW()/100000,"")</f>
        <v/>
      </c>
      <c r="K265" t="str">
        <f ca="1">IF(K$5,COUNTIFS(Medications!$AN:$AN,ReportAndOutcomeHistory!$A265,Medications!$AP:$AP,1,Medications!$AS:$AS,1,INDIRECT("Medications!$"&amp;$D265&amp;":$"&amp;$D265),1)+ROW()/100000,"")</f>
        <v/>
      </c>
      <c r="L265" t="str">
        <f ca="1">IF(L$5,COUNTIFS(Medications!$AN:$AN,ReportAndOutcomeHistory!$A265,Medications!$AP:$AP,1,Medications!$AS:$AS,1,INDIRECT("Medications!$"&amp;$D265&amp;":$"&amp;$D265),1)+ROW()/100000,"")</f>
        <v/>
      </c>
      <c r="M265" t="str">
        <f ca="1">IF(M$5,COUNTIFS(Medications!$AN:$AN,ReportAndOutcomeHistory!$A265,Medications!$AP:$AP,1,Medications!$AS:$AS,1,INDIRECT("Medications!$"&amp;$D265&amp;":$"&amp;$D265),1)+ROW()/100000,"")</f>
        <v/>
      </c>
      <c r="N265" t="str">
        <f ca="1">IF(N$5,COUNTIFS(Medications!$AN:$AN,ReportAndOutcomeHistory!$A265,Medications!$AP:$AP,1,Medications!$AS:$AS,1,INDIRECT("Medications!$"&amp;$D265&amp;":$"&amp;$D265),1)+ROW()/100000,"")</f>
        <v/>
      </c>
      <c r="O265" t="str">
        <f ca="1">IF(O$5,COUNTIFS(Medications!$AN:$AN,ReportAndOutcomeHistory!$A265,Medications!$AP:$AP,1,Medications!$AS:$AS,1,INDIRECT("Medications!$"&amp;$D265&amp;":$"&amp;$D265),1)+ROW()/100000,"")</f>
        <v/>
      </c>
      <c r="P265" t="str">
        <f ca="1">IF(P$5,COUNTIFS(Medications!$AN:$AN,ReportAndOutcomeHistory!$A265,Medications!$AP:$AP,1,Medications!$AS:$AS,1,INDIRECT("Medications!$"&amp;$D265&amp;":$"&amp;$D265),1)+ROW()/100000,"")</f>
        <v/>
      </c>
      <c r="Q265" t="str">
        <f ca="1">IF(Q$5,COUNTIFS(Medications!$AN:$AN,ReportAndOutcomeHistory!$A265,Medications!$AP:$AP,1,Medications!$AS:$AS,1,INDIRECT("Medications!$"&amp;$D265&amp;":$"&amp;$D265),1)+ROW()/100000,"")</f>
        <v/>
      </c>
      <c r="R265" t="str">
        <f ca="1">IF(R$5,COUNTIFS(Medications!$AN:$AN,ReportAndOutcomeHistory!$A265,Medications!$AP:$AP,1,Medications!$AS:$AS,1,INDIRECT("Medications!$"&amp;$D265&amp;":$"&amp;$D265),1)+ROW()/100000,"")</f>
        <v/>
      </c>
    </row>
    <row r="266" spans="1:18" ht="15">
      <c r="A266" t="s">
        <v>40</v>
      </c>
      <c r="B266" t="str">
        <f t="shared" si="41"/>
        <v>Number of medications prescribed to individuals living with dementia for ExpOther0</v>
      </c>
      <c r="C266" t="s">
        <v>413</v>
      </c>
      <c r="D266" t="str">
        <f>IF($S$3,SUBSTITUTE(ADDRESS(1,MATCH($C266,Medications!$1:$1,0),4),"1",""),"")</f>
        <v/>
      </c>
      <c r="E266" t="s">
        <v>466</v>
      </c>
      <c r="F266" t="str">
        <f ca="1">IF(F$5,COUNTIFS(Medications!$AN:$AN,ReportAndOutcomeHistory!$A266,Medications!$AP:$AP,1,Medications!$AS:$AS,1,INDIRECT("Medications!$"&amp;$D266&amp;":$"&amp;$D266),1),"")</f>
        <v/>
      </c>
      <c r="G266" t="str">
        <f ca="1">IF(G$5,COUNTIFS(Medications!$AN:$AN,ReportAndOutcomeHistory!$A266,Medications!$AP:$AP,1,Medications!$AS:$AS,1,INDIRECT("Medications!$"&amp;$D266&amp;":$"&amp;$D266),1),"")</f>
        <v/>
      </c>
      <c r="H266" t="str">
        <f ca="1">IF(H$5,COUNTIFS(Medications!$AN:$AN,ReportAndOutcomeHistory!$A266,Medications!$AP:$AP,1,Medications!$AS:$AS,1,INDIRECT("Medications!$"&amp;$D266&amp;":$"&amp;$D266),1),"")</f>
        <v/>
      </c>
      <c r="I266" t="str">
        <f ca="1">IF(I$5,COUNTIFS(Medications!$AN:$AN,ReportAndOutcomeHistory!$A266,Medications!$AP:$AP,1,Medications!$AS:$AS,1,INDIRECT("Medications!$"&amp;$D266&amp;":$"&amp;$D266),1),"")</f>
        <v/>
      </c>
      <c r="J266" t="str">
        <f ca="1">IF(J$5,COUNTIFS(Medications!$AN:$AN,ReportAndOutcomeHistory!$A266,Medications!$AP:$AP,1,Medications!$AS:$AS,1,INDIRECT("Medications!$"&amp;$D266&amp;":$"&amp;$D266),1),"")</f>
        <v/>
      </c>
      <c r="K266" t="str">
        <f ca="1">IF(K$5,COUNTIFS(Medications!$AN:$AN,ReportAndOutcomeHistory!$A266,Medications!$AP:$AP,1,Medications!$AS:$AS,1,INDIRECT("Medications!$"&amp;$D266&amp;":$"&amp;$D266),1),"")</f>
        <v/>
      </c>
      <c r="L266" t="str">
        <f ca="1">IF(L$5,COUNTIFS(Medications!$AN:$AN,ReportAndOutcomeHistory!$A266,Medications!$AP:$AP,1,Medications!$AS:$AS,1,INDIRECT("Medications!$"&amp;$D266&amp;":$"&amp;$D266),1),"")</f>
        <v/>
      </c>
      <c r="M266" t="str">
        <f ca="1">IF(M$5,COUNTIFS(Medications!$AN:$AN,ReportAndOutcomeHistory!$A266,Medications!$AP:$AP,1,Medications!$AS:$AS,1,INDIRECT("Medications!$"&amp;$D266&amp;":$"&amp;$D266),1),"")</f>
        <v/>
      </c>
      <c r="N266" t="str">
        <f ca="1">IF(N$5,COUNTIFS(Medications!$AN:$AN,ReportAndOutcomeHistory!$A266,Medications!$AP:$AP,1,Medications!$AS:$AS,1,INDIRECT("Medications!$"&amp;$D266&amp;":$"&amp;$D266),1),"")</f>
        <v/>
      </c>
      <c r="O266" t="str">
        <f ca="1">IF(O$5,COUNTIFS(Medications!$AN:$AN,ReportAndOutcomeHistory!$A266,Medications!$AP:$AP,1,Medications!$AS:$AS,1,INDIRECT("Medications!$"&amp;$D266&amp;":$"&amp;$D266),1),"")</f>
        <v/>
      </c>
      <c r="P266" t="str">
        <f ca="1">IF(P$5,COUNTIFS(Medications!$AN:$AN,ReportAndOutcomeHistory!$A266,Medications!$AP:$AP,1,Medications!$AS:$AS,1,INDIRECT("Medications!$"&amp;$D266&amp;":$"&amp;$D266),1),"")</f>
        <v/>
      </c>
      <c r="Q266" t="str">
        <f ca="1">IF(Q$5,COUNTIFS(Medications!$AN:$AN,ReportAndOutcomeHistory!$A266,Medications!$AP:$AP,1,Medications!$AS:$AS,1,INDIRECT("Medications!$"&amp;$D266&amp;":$"&amp;$D266),1),"")</f>
        <v/>
      </c>
      <c r="R266" t="str">
        <f ca="1">IF(R$5,COUNTIFS(Medications!$AN:$AN,ReportAndOutcomeHistory!$A266,Medications!$AP:$AP,1,Medications!$AS:$AS,1,INDIRECT("Medications!$"&amp;$D266&amp;":$"&amp;$D266),1),"")</f>
        <v/>
      </c>
    </row>
    <row r="267" spans="1:18" ht="15">
      <c r="A267" t="s">
        <v>40</v>
      </c>
      <c r="B267" t="str">
        <f t="shared" si="41"/>
        <v>Number of medications prescribed to individuals living with dementia for ExpOther1</v>
      </c>
      <c r="C267" t="s">
        <v>414</v>
      </c>
      <c r="D267" t="str">
        <f>IF($S$3,SUBSTITUTE(ADDRESS(1,MATCH($C267,Medications!$1:$1,0),4),"1",""),"")</f>
        <v/>
      </c>
      <c r="E267" t="s">
        <v>466</v>
      </c>
      <c r="F267" t="str">
        <f ca="1">IF(F$5,COUNTIFS(Medications!$AN:$AN,ReportAndOutcomeHistory!$A267,Medications!$AP:$AP,1,Medications!$AS:$AS,1,INDIRECT("Medications!$"&amp;$D267&amp;":$"&amp;$D267),1),"")</f>
        <v/>
      </c>
      <c r="G267" t="str">
        <f ca="1">IF(G$5,COUNTIFS(Medications!$AN:$AN,ReportAndOutcomeHistory!$A267,Medications!$AP:$AP,1,Medications!$AS:$AS,1,INDIRECT("Medications!$"&amp;$D267&amp;":$"&amp;$D267),1),"")</f>
        <v/>
      </c>
      <c r="H267" t="str">
        <f ca="1">IF(H$5,COUNTIFS(Medications!$AN:$AN,ReportAndOutcomeHistory!$A267,Medications!$AP:$AP,1,Medications!$AS:$AS,1,INDIRECT("Medications!$"&amp;$D267&amp;":$"&amp;$D267),1),"")</f>
        <v/>
      </c>
      <c r="I267" t="str">
        <f ca="1">IF(I$5,COUNTIFS(Medications!$AN:$AN,ReportAndOutcomeHistory!$A267,Medications!$AP:$AP,1,Medications!$AS:$AS,1,INDIRECT("Medications!$"&amp;$D267&amp;":$"&amp;$D267),1),"")</f>
        <v/>
      </c>
      <c r="J267" t="str">
        <f ca="1">IF(J$5,COUNTIFS(Medications!$AN:$AN,ReportAndOutcomeHistory!$A267,Medications!$AP:$AP,1,Medications!$AS:$AS,1,INDIRECT("Medications!$"&amp;$D267&amp;":$"&amp;$D267),1),"")</f>
        <v/>
      </c>
      <c r="K267" t="str">
        <f ca="1">IF(K$5,COUNTIFS(Medications!$AN:$AN,ReportAndOutcomeHistory!$A267,Medications!$AP:$AP,1,Medications!$AS:$AS,1,INDIRECT("Medications!$"&amp;$D267&amp;":$"&amp;$D267),1),"")</f>
        <v/>
      </c>
      <c r="L267" t="str">
        <f ca="1">IF(L$5,COUNTIFS(Medications!$AN:$AN,ReportAndOutcomeHistory!$A267,Medications!$AP:$AP,1,Medications!$AS:$AS,1,INDIRECT("Medications!$"&amp;$D267&amp;":$"&amp;$D267),1),"")</f>
        <v/>
      </c>
      <c r="M267" t="str">
        <f ca="1">IF(M$5,COUNTIFS(Medications!$AN:$AN,ReportAndOutcomeHistory!$A267,Medications!$AP:$AP,1,Medications!$AS:$AS,1,INDIRECT("Medications!$"&amp;$D267&amp;":$"&amp;$D267),1),"")</f>
        <v/>
      </c>
      <c r="N267" t="str">
        <f ca="1">IF(N$5,COUNTIFS(Medications!$AN:$AN,ReportAndOutcomeHistory!$A267,Medications!$AP:$AP,1,Medications!$AS:$AS,1,INDIRECT("Medications!$"&amp;$D267&amp;":$"&amp;$D267),1),"")</f>
        <v/>
      </c>
      <c r="O267" t="str">
        <f ca="1">IF(O$5,COUNTIFS(Medications!$AN:$AN,ReportAndOutcomeHistory!$A267,Medications!$AP:$AP,1,Medications!$AS:$AS,1,INDIRECT("Medications!$"&amp;$D267&amp;":$"&amp;$D267),1),"")</f>
        <v/>
      </c>
      <c r="P267" t="str">
        <f ca="1">IF(P$5,COUNTIFS(Medications!$AN:$AN,ReportAndOutcomeHistory!$A267,Medications!$AP:$AP,1,Medications!$AS:$AS,1,INDIRECT("Medications!$"&amp;$D267&amp;":$"&amp;$D267),1),"")</f>
        <v/>
      </c>
      <c r="Q267" t="str">
        <f ca="1">IF(Q$5,COUNTIFS(Medications!$AN:$AN,ReportAndOutcomeHistory!$A267,Medications!$AP:$AP,1,Medications!$AS:$AS,1,INDIRECT("Medications!$"&amp;$D267&amp;":$"&amp;$D267),1),"")</f>
        <v/>
      </c>
      <c r="R267" t="str">
        <f ca="1">IF(R$5,COUNTIFS(Medications!$AN:$AN,ReportAndOutcomeHistory!$A267,Medications!$AP:$AP,1,Medications!$AS:$AS,1,INDIRECT("Medications!$"&amp;$D267&amp;":$"&amp;$D267),1),"")</f>
        <v/>
      </c>
    </row>
    <row r="268" spans="1:18" ht="15">
      <c r="A268" t="s">
        <v>40</v>
      </c>
      <c r="B268" t="str">
        <f t="shared" si="41"/>
        <v>Number of medications prescribed to individuals living with dementia for ExpOther2</v>
      </c>
      <c r="C268" t="s">
        <v>415</v>
      </c>
      <c r="D268" t="str">
        <f>IF($S$3,SUBSTITUTE(ADDRESS(1,MATCH($C268,Medications!$1:$1,0),4),"1",""),"")</f>
        <v/>
      </c>
      <c r="E268" t="s">
        <v>466</v>
      </c>
      <c r="F268" t="str">
        <f ca="1">IF(F$5,COUNTIFS(Medications!$AN:$AN,ReportAndOutcomeHistory!$A268,Medications!$AP:$AP,1,Medications!$AS:$AS,1,INDIRECT("Medications!$"&amp;$D268&amp;":$"&amp;$D268),1),"")</f>
        <v/>
      </c>
      <c r="G268" t="str">
        <f ca="1">IF(G$5,COUNTIFS(Medications!$AN:$AN,ReportAndOutcomeHistory!$A268,Medications!$AP:$AP,1,Medications!$AS:$AS,1,INDIRECT("Medications!$"&amp;$D268&amp;":$"&amp;$D268),1),"")</f>
        <v/>
      </c>
      <c r="H268" t="str">
        <f ca="1">IF(H$5,COUNTIFS(Medications!$AN:$AN,ReportAndOutcomeHistory!$A268,Medications!$AP:$AP,1,Medications!$AS:$AS,1,INDIRECT("Medications!$"&amp;$D268&amp;":$"&amp;$D268),1),"")</f>
        <v/>
      </c>
      <c r="I268" t="str">
        <f ca="1">IF(I$5,COUNTIFS(Medications!$AN:$AN,ReportAndOutcomeHistory!$A268,Medications!$AP:$AP,1,Medications!$AS:$AS,1,INDIRECT("Medications!$"&amp;$D268&amp;":$"&amp;$D268),1),"")</f>
        <v/>
      </c>
      <c r="J268" t="str">
        <f ca="1">IF(J$5,COUNTIFS(Medications!$AN:$AN,ReportAndOutcomeHistory!$A268,Medications!$AP:$AP,1,Medications!$AS:$AS,1,INDIRECT("Medications!$"&amp;$D268&amp;":$"&amp;$D268),1),"")</f>
        <v/>
      </c>
      <c r="K268" t="str">
        <f ca="1">IF(K$5,COUNTIFS(Medications!$AN:$AN,ReportAndOutcomeHistory!$A268,Medications!$AP:$AP,1,Medications!$AS:$AS,1,INDIRECT("Medications!$"&amp;$D268&amp;":$"&amp;$D268),1),"")</f>
        <v/>
      </c>
      <c r="L268" t="str">
        <f ca="1">IF(L$5,COUNTIFS(Medications!$AN:$AN,ReportAndOutcomeHistory!$A268,Medications!$AP:$AP,1,Medications!$AS:$AS,1,INDIRECT("Medications!$"&amp;$D268&amp;":$"&amp;$D268),1),"")</f>
        <v/>
      </c>
      <c r="M268" t="str">
        <f ca="1">IF(M$5,COUNTIFS(Medications!$AN:$AN,ReportAndOutcomeHistory!$A268,Medications!$AP:$AP,1,Medications!$AS:$AS,1,INDIRECT("Medications!$"&amp;$D268&amp;":$"&amp;$D268),1),"")</f>
        <v/>
      </c>
      <c r="N268" t="str">
        <f ca="1">IF(N$5,COUNTIFS(Medications!$AN:$AN,ReportAndOutcomeHistory!$A268,Medications!$AP:$AP,1,Medications!$AS:$AS,1,INDIRECT("Medications!$"&amp;$D268&amp;":$"&amp;$D268),1),"")</f>
        <v/>
      </c>
      <c r="O268" t="str">
        <f ca="1">IF(O$5,COUNTIFS(Medications!$AN:$AN,ReportAndOutcomeHistory!$A268,Medications!$AP:$AP,1,Medications!$AS:$AS,1,INDIRECT("Medications!$"&amp;$D268&amp;":$"&amp;$D268),1),"")</f>
        <v/>
      </c>
      <c r="P268" t="str">
        <f ca="1">IF(P$5,COUNTIFS(Medications!$AN:$AN,ReportAndOutcomeHistory!$A268,Medications!$AP:$AP,1,Medications!$AS:$AS,1,INDIRECT("Medications!$"&amp;$D268&amp;":$"&amp;$D268),1),"")</f>
        <v/>
      </c>
      <c r="Q268" t="str">
        <f ca="1">IF(Q$5,COUNTIFS(Medications!$AN:$AN,ReportAndOutcomeHistory!$A268,Medications!$AP:$AP,1,Medications!$AS:$AS,1,INDIRECT("Medications!$"&amp;$D268&amp;":$"&amp;$D268),1),"")</f>
        <v/>
      </c>
      <c r="R268" t="str">
        <f ca="1">IF(R$5,COUNTIFS(Medications!$AN:$AN,ReportAndOutcomeHistory!$A268,Medications!$AP:$AP,1,Medications!$AS:$AS,1,INDIRECT("Medications!$"&amp;$D268&amp;":$"&amp;$D268),1),"")</f>
        <v/>
      </c>
    </row>
    <row r="269" spans="1:18" ht="15">
      <c r="A269" t="s">
        <v>40</v>
      </c>
      <c r="B269" t="str">
        <f>"Rank "&amp;C269</f>
        <v>Rank ExpWalking</v>
      </c>
      <c r="C269" t="str">
        <f>C247</f>
        <v>ExpWalking</v>
      </c>
      <c r="E269" t="s">
        <v>466</v>
      </c>
      <c r="F269" t="str">
        <f aca="true" t="shared" si="42" ref="F269:Q284">IF(F$5,_xlfn.RANK.AVG(F247,F$247:F$265),"")</f>
        <v/>
      </c>
      <c r="G269" t="str">
        <f t="shared" si="42"/>
        <v/>
      </c>
      <c r="H269" t="str">
        <f t="shared" si="42"/>
        <v/>
      </c>
      <c r="I269" t="str">
        <f t="shared" si="42"/>
        <v/>
      </c>
      <c r="J269" t="str">
        <f t="shared" si="42"/>
        <v/>
      </c>
      <c r="K269" t="str">
        <f t="shared" si="42"/>
        <v/>
      </c>
      <c r="L269" t="str">
        <f t="shared" si="42"/>
        <v/>
      </c>
      <c r="M269" t="str">
        <f t="shared" si="42"/>
        <v/>
      </c>
      <c r="N269" t="str">
        <f t="shared" si="42"/>
        <v/>
      </c>
      <c r="O269" t="str">
        <f t="shared" si="42"/>
        <v/>
      </c>
      <c r="P269" t="str">
        <f t="shared" si="42"/>
        <v/>
      </c>
      <c r="Q269" t="str">
        <f t="shared" si="42"/>
        <v/>
      </c>
      <c r="R269" t="str">
        <f>IF(R$5,_xlfn.RANK.AVG(R247,R$247:R$265),"")</f>
        <v/>
      </c>
    </row>
    <row r="270" spans="1:18" ht="15">
      <c r="A270" t="s">
        <v>40</v>
      </c>
      <c r="B270" t="str">
        <f aca="true" t="shared" si="43" ref="B270:B287">"Rank "&amp;C270</f>
        <v>Rank ExpWandering</v>
      </c>
      <c r="C270" t="str">
        <f aca="true" t="shared" si="44" ref="C270:C287">C248</f>
        <v>ExpWandering</v>
      </c>
      <c r="E270" t="s">
        <v>466</v>
      </c>
      <c r="F270" t="str">
        <f t="shared" si="42"/>
        <v/>
      </c>
      <c r="G270" t="str">
        <f t="shared" si="42"/>
        <v/>
      </c>
      <c r="H270" t="str">
        <f t="shared" si="42"/>
        <v/>
      </c>
      <c r="I270" t="str">
        <f t="shared" si="42"/>
        <v/>
      </c>
      <c r="J270" t="str">
        <f t="shared" si="42"/>
        <v/>
      </c>
      <c r="K270" t="str">
        <f t="shared" si="42"/>
        <v/>
      </c>
      <c r="L270" t="str">
        <f t="shared" si="42"/>
        <v/>
      </c>
      <c r="M270" t="str">
        <f t="shared" si="42"/>
        <v/>
      </c>
      <c r="N270" t="str">
        <f t="shared" si="42"/>
        <v/>
      </c>
      <c r="O270" t="str">
        <f t="shared" si="42"/>
        <v/>
      </c>
      <c r="P270" t="str">
        <f t="shared" si="42"/>
        <v/>
      </c>
      <c r="Q270" t="str">
        <f t="shared" si="42"/>
        <v/>
      </c>
      <c r="R270" t="str">
        <f aca="true" t="shared" si="45" ref="R270:R287">IF(R$5,_xlfn.RANK.AVG(R248,R$247:R$265),"")</f>
        <v/>
      </c>
    </row>
    <row r="271" spans="1:18" ht="15">
      <c r="A271" t="s">
        <v>40</v>
      </c>
      <c r="B271" t="str">
        <f t="shared" si="43"/>
        <v>Rank ExpPacing</v>
      </c>
      <c r="C271" t="str">
        <f t="shared" si="44"/>
        <v>ExpPacing</v>
      </c>
      <c r="E271" t="s">
        <v>466</v>
      </c>
      <c r="F271" t="str">
        <f t="shared" si="42"/>
        <v/>
      </c>
      <c r="G271" t="str">
        <f t="shared" si="42"/>
        <v/>
      </c>
      <c r="H271" t="str">
        <f t="shared" si="42"/>
        <v/>
      </c>
      <c r="I271" t="str">
        <f t="shared" si="42"/>
        <v/>
      </c>
      <c r="J271" t="str">
        <f t="shared" si="42"/>
        <v/>
      </c>
      <c r="K271" t="str">
        <f t="shared" si="42"/>
        <v/>
      </c>
      <c r="L271" t="str">
        <f t="shared" si="42"/>
        <v/>
      </c>
      <c r="M271" t="str">
        <f t="shared" si="42"/>
        <v/>
      </c>
      <c r="N271" t="str">
        <f t="shared" si="42"/>
        <v/>
      </c>
      <c r="O271" t="str">
        <f t="shared" si="42"/>
        <v/>
      </c>
      <c r="P271" t="str">
        <f t="shared" si="42"/>
        <v/>
      </c>
      <c r="Q271" t="str">
        <f t="shared" si="42"/>
        <v/>
      </c>
      <c r="R271" t="str">
        <f t="shared" si="45"/>
        <v/>
      </c>
    </row>
    <row r="272" spans="1:18" ht="15">
      <c r="A272" t="s">
        <v>40</v>
      </c>
      <c r="B272" t="str">
        <f t="shared" si="43"/>
        <v>Rank ExpSearching</v>
      </c>
      <c r="C272" t="str">
        <f t="shared" si="44"/>
        <v>ExpSearching</v>
      </c>
      <c r="E272" t="s">
        <v>466</v>
      </c>
      <c r="F272" t="str">
        <f t="shared" si="42"/>
        <v/>
      </c>
      <c r="G272" t="str">
        <f t="shared" si="42"/>
        <v/>
      </c>
      <c r="H272" t="str">
        <f t="shared" si="42"/>
        <v/>
      </c>
      <c r="I272" t="str">
        <f t="shared" si="42"/>
        <v/>
      </c>
      <c r="J272" t="str">
        <f t="shared" si="42"/>
        <v/>
      </c>
      <c r="K272" t="str">
        <f t="shared" si="42"/>
        <v/>
      </c>
      <c r="L272" t="str">
        <f t="shared" si="42"/>
        <v/>
      </c>
      <c r="M272" t="str">
        <f t="shared" si="42"/>
        <v/>
      </c>
      <c r="N272" t="str">
        <f t="shared" si="42"/>
        <v/>
      </c>
      <c r="O272" t="str">
        <f t="shared" si="42"/>
        <v/>
      </c>
      <c r="P272" t="str">
        <f t="shared" si="42"/>
        <v/>
      </c>
      <c r="Q272" t="str">
        <f t="shared" si="42"/>
        <v/>
      </c>
      <c r="R272" t="str">
        <f t="shared" si="45"/>
        <v/>
      </c>
    </row>
    <row r="273" spans="1:18" ht="15">
      <c r="A273" t="s">
        <v>40</v>
      </c>
      <c r="B273" t="str">
        <f t="shared" si="43"/>
        <v>Rank ExpRepetitiveVocalizations</v>
      </c>
      <c r="C273" t="str">
        <f t="shared" si="44"/>
        <v>ExpRepetitiveVocalizations</v>
      </c>
      <c r="E273" t="s">
        <v>466</v>
      </c>
      <c r="F273" t="str">
        <f t="shared" si="42"/>
        <v/>
      </c>
      <c r="G273" t="str">
        <f t="shared" si="42"/>
        <v/>
      </c>
      <c r="H273" t="str">
        <f t="shared" si="42"/>
        <v/>
      </c>
      <c r="I273" t="str">
        <f t="shared" si="42"/>
        <v/>
      </c>
      <c r="J273" t="str">
        <f t="shared" si="42"/>
        <v/>
      </c>
      <c r="K273" t="str">
        <f t="shared" si="42"/>
        <v/>
      </c>
      <c r="L273" t="str">
        <f t="shared" si="42"/>
        <v/>
      </c>
      <c r="M273" t="str">
        <f t="shared" si="42"/>
        <v/>
      </c>
      <c r="N273" t="str">
        <f t="shared" si="42"/>
        <v/>
      </c>
      <c r="O273" t="str">
        <f t="shared" si="42"/>
        <v/>
      </c>
      <c r="P273" t="str">
        <f t="shared" si="42"/>
        <v/>
      </c>
      <c r="Q273" t="str">
        <f t="shared" si="42"/>
        <v/>
      </c>
      <c r="R273" t="str">
        <f t="shared" si="45"/>
        <v/>
      </c>
    </row>
    <row r="274" spans="1:18" ht="15">
      <c r="A274" t="s">
        <v>40</v>
      </c>
      <c r="B274" t="str">
        <f t="shared" si="43"/>
        <v>Rank ExpRestlessness</v>
      </c>
      <c r="C274" t="str">
        <f t="shared" si="44"/>
        <v>ExpRestlessness</v>
      </c>
      <c r="E274" t="s">
        <v>466</v>
      </c>
      <c r="F274" t="str">
        <f t="shared" si="42"/>
        <v/>
      </c>
      <c r="G274" t="str">
        <f t="shared" si="42"/>
        <v/>
      </c>
      <c r="H274" t="str">
        <f t="shared" si="42"/>
        <v/>
      </c>
      <c r="I274" t="str">
        <f t="shared" si="42"/>
        <v/>
      </c>
      <c r="J274" t="str">
        <f t="shared" si="42"/>
        <v/>
      </c>
      <c r="K274" t="str">
        <f t="shared" si="42"/>
        <v/>
      </c>
      <c r="L274" t="str">
        <f t="shared" si="42"/>
        <v/>
      </c>
      <c r="M274" t="str">
        <f t="shared" si="42"/>
        <v/>
      </c>
      <c r="N274" t="str">
        <f t="shared" si="42"/>
        <v/>
      </c>
      <c r="O274" t="str">
        <f t="shared" si="42"/>
        <v/>
      </c>
      <c r="P274" t="str">
        <f t="shared" si="42"/>
        <v/>
      </c>
      <c r="Q274" t="str">
        <f t="shared" si="42"/>
        <v/>
      </c>
      <c r="R274" t="str">
        <f t="shared" si="45"/>
        <v/>
      </c>
    </row>
    <row r="275" spans="1:18" ht="15">
      <c r="A275" t="s">
        <v>40</v>
      </c>
      <c r="B275" t="str">
        <f t="shared" si="43"/>
        <v>Rank ExpDifferentPerceptions</v>
      </c>
      <c r="C275" t="str">
        <f t="shared" si="44"/>
        <v>ExpDifferentPerceptions</v>
      </c>
      <c r="E275" t="s">
        <v>466</v>
      </c>
      <c r="F275" t="str">
        <f t="shared" si="42"/>
        <v/>
      </c>
      <c r="G275" t="str">
        <f t="shared" si="42"/>
        <v/>
      </c>
      <c r="H275" t="str">
        <f t="shared" si="42"/>
        <v/>
      </c>
      <c r="I275" t="str">
        <f t="shared" si="42"/>
        <v/>
      </c>
      <c r="J275" t="str">
        <f t="shared" si="42"/>
        <v/>
      </c>
      <c r="K275" t="str">
        <f t="shared" si="42"/>
        <v/>
      </c>
      <c r="L275" t="str">
        <f t="shared" si="42"/>
        <v/>
      </c>
      <c r="M275" t="str">
        <f t="shared" si="42"/>
        <v/>
      </c>
      <c r="N275" t="str">
        <f t="shared" si="42"/>
        <v/>
      </c>
      <c r="O275" t="str">
        <f t="shared" si="42"/>
        <v/>
      </c>
      <c r="P275" t="str">
        <f t="shared" si="42"/>
        <v/>
      </c>
      <c r="Q275" t="str">
        <f t="shared" si="42"/>
        <v/>
      </c>
      <c r="R275" t="str">
        <f t="shared" si="45"/>
        <v/>
      </c>
    </row>
    <row r="276" spans="1:18" ht="15">
      <c r="A276" t="s">
        <v>40</v>
      </c>
      <c r="B276" t="str">
        <f t="shared" si="43"/>
        <v>Rank ExpResistingCare</v>
      </c>
      <c r="C276" t="str">
        <f t="shared" si="44"/>
        <v>ExpResistingCare</v>
      </c>
      <c r="E276" t="s">
        <v>466</v>
      </c>
      <c r="F276" t="str">
        <f t="shared" si="42"/>
        <v/>
      </c>
      <c r="G276" t="str">
        <f t="shared" si="42"/>
        <v/>
      </c>
      <c r="H276" t="str">
        <f t="shared" si="42"/>
        <v/>
      </c>
      <c r="I276" t="str">
        <f t="shared" si="42"/>
        <v/>
      </c>
      <c r="J276" t="str">
        <f t="shared" si="42"/>
        <v/>
      </c>
      <c r="K276" t="str">
        <f t="shared" si="42"/>
        <v/>
      </c>
      <c r="L276" t="str">
        <f t="shared" si="42"/>
        <v/>
      </c>
      <c r="M276" t="str">
        <f t="shared" si="42"/>
        <v/>
      </c>
      <c r="N276" t="str">
        <f t="shared" si="42"/>
        <v/>
      </c>
      <c r="O276" t="str">
        <f t="shared" si="42"/>
        <v/>
      </c>
      <c r="P276" t="str">
        <f t="shared" si="42"/>
        <v/>
      </c>
      <c r="Q276" t="str">
        <f t="shared" si="42"/>
        <v/>
      </c>
      <c r="R276" t="str">
        <f t="shared" si="45"/>
        <v/>
      </c>
    </row>
    <row r="277" spans="1:18" ht="15">
      <c r="A277" t="s">
        <v>40</v>
      </c>
      <c r="B277" t="str">
        <f t="shared" si="43"/>
        <v>Rank ExpExitSeeking</v>
      </c>
      <c r="C277" t="str">
        <f t="shared" si="44"/>
        <v>ExpExitSeeking</v>
      </c>
      <c r="E277" t="s">
        <v>466</v>
      </c>
      <c r="F277" t="str">
        <f t="shared" si="42"/>
        <v/>
      </c>
      <c r="G277" t="str">
        <f t="shared" si="42"/>
        <v/>
      </c>
      <c r="H277" t="str">
        <f t="shared" si="42"/>
        <v/>
      </c>
      <c r="I277" t="str">
        <f t="shared" si="42"/>
        <v/>
      </c>
      <c r="J277" t="str">
        <f t="shared" si="42"/>
        <v/>
      </c>
      <c r="K277" t="str">
        <f t="shared" si="42"/>
        <v/>
      </c>
      <c r="L277" t="str">
        <f t="shared" si="42"/>
        <v/>
      </c>
      <c r="M277" t="str">
        <f t="shared" si="42"/>
        <v/>
      </c>
      <c r="N277" t="str">
        <f t="shared" si="42"/>
        <v/>
      </c>
      <c r="O277" t="str">
        <f t="shared" si="42"/>
        <v/>
      </c>
      <c r="P277" t="str">
        <f t="shared" si="42"/>
        <v/>
      </c>
      <c r="Q277" t="str">
        <f t="shared" si="42"/>
        <v/>
      </c>
      <c r="R277" t="str">
        <f t="shared" si="45"/>
        <v/>
      </c>
    </row>
    <row r="278" spans="1:18" ht="15">
      <c r="A278" t="s">
        <v>40</v>
      </c>
      <c r="B278" t="str">
        <f t="shared" si="43"/>
        <v>Rank ExpCrying</v>
      </c>
      <c r="C278" t="str">
        <f t="shared" si="44"/>
        <v>ExpCrying</v>
      </c>
      <c r="E278" t="s">
        <v>466</v>
      </c>
      <c r="F278" t="str">
        <f t="shared" si="42"/>
        <v/>
      </c>
      <c r="G278" t="str">
        <f t="shared" si="42"/>
        <v/>
      </c>
      <c r="H278" t="str">
        <f t="shared" si="42"/>
        <v/>
      </c>
      <c r="I278" t="str">
        <f t="shared" si="42"/>
        <v/>
      </c>
      <c r="J278" t="str">
        <f t="shared" si="42"/>
        <v/>
      </c>
      <c r="K278" t="str">
        <f t="shared" si="42"/>
        <v/>
      </c>
      <c r="L278" t="str">
        <f t="shared" si="42"/>
        <v/>
      </c>
      <c r="M278" t="str">
        <f t="shared" si="42"/>
        <v/>
      </c>
      <c r="N278" t="str">
        <f t="shared" si="42"/>
        <v/>
      </c>
      <c r="O278" t="str">
        <f t="shared" si="42"/>
        <v/>
      </c>
      <c r="P278" t="str">
        <f t="shared" si="42"/>
        <v/>
      </c>
      <c r="Q278" t="str">
        <f t="shared" si="42"/>
        <v/>
      </c>
      <c r="R278" t="str">
        <f t="shared" si="45"/>
        <v/>
      </c>
    </row>
    <row r="279" spans="1:18" ht="15">
      <c r="A279" t="s">
        <v>40</v>
      </c>
      <c r="B279" t="str">
        <f t="shared" si="43"/>
        <v>Rank ExpSlumping</v>
      </c>
      <c r="C279" t="str">
        <f t="shared" si="44"/>
        <v>ExpSlumping</v>
      </c>
      <c r="E279" t="s">
        <v>466</v>
      </c>
      <c r="F279" t="str">
        <f t="shared" si="42"/>
        <v/>
      </c>
      <c r="G279" t="str">
        <f t="shared" si="42"/>
        <v/>
      </c>
      <c r="H279" t="str">
        <f t="shared" si="42"/>
        <v/>
      </c>
      <c r="I279" t="str">
        <f t="shared" si="42"/>
        <v/>
      </c>
      <c r="J279" t="str">
        <f t="shared" si="42"/>
        <v/>
      </c>
      <c r="K279" t="str">
        <f t="shared" si="42"/>
        <v/>
      </c>
      <c r="L279" t="str">
        <f t="shared" si="42"/>
        <v/>
      </c>
      <c r="M279" t="str">
        <f t="shared" si="42"/>
        <v/>
      </c>
      <c r="N279" t="str">
        <f t="shared" si="42"/>
        <v/>
      </c>
      <c r="O279" t="str">
        <f t="shared" si="42"/>
        <v/>
      </c>
      <c r="P279" t="str">
        <f t="shared" si="42"/>
        <v/>
      </c>
      <c r="Q279" t="str">
        <f t="shared" si="42"/>
        <v/>
      </c>
      <c r="R279" t="str">
        <f t="shared" si="45"/>
        <v/>
      </c>
    </row>
    <row r="280" spans="1:18" ht="15">
      <c r="A280" t="s">
        <v>40</v>
      </c>
      <c r="B280" t="str">
        <f t="shared" si="43"/>
        <v>Rank ExpAnxiety</v>
      </c>
      <c r="C280" t="str">
        <f t="shared" si="44"/>
        <v>ExpAnxiety</v>
      </c>
      <c r="E280" t="s">
        <v>466</v>
      </c>
      <c r="F280" t="str">
        <f t="shared" si="42"/>
        <v/>
      </c>
      <c r="G280" t="str">
        <f t="shared" si="42"/>
        <v/>
      </c>
      <c r="H280" t="str">
        <f t="shared" si="42"/>
        <v/>
      </c>
      <c r="I280" t="str">
        <f t="shared" si="42"/>
        <v/>
      </c>
      <c r="J280" t="str">
        <f t="shared" si="42"/>
        <v/>
      </c>
      <c r="K280" t="str">
        <f t="shared" si="42"/>
        <v/>
      </c>
      <c r="L280" t="str">
        <f t="shared" si="42"/>
        <v/>
      </c>
      <c r="M280" t="str">
        <f t="shared" si="42"/>
        <v/>
      </c>
      <c r="N280" t="str">
        <f t="shared" si="42"/>
        <v/>
      </c>
      <c r="O280" t="str">
        <f t="shared" si="42"/>
        <v/>
      </c>
      <c r="P280" t="str">
        <f t="shared" si="42"/>
        <v/>
      </c>
      <c r="Q280" t="str">
        <f t="shared" si="42"/>
        <v/>
      </c>
      <c r="R280" t="str">
        <f t="shared" si="45"/>
        <v/>
      </c>
    </row>
    <row r="281" spans="1:18" ht="15">
      <c r="A281" t="s">
        <v>40</v>
      </c>
      <c r="B281" t="str">
        <f t="shared" si="43"/>
        <v>Rank ExpVerbalAgitation</v>
      </c>
      <c r="C281" t="str">
        <f t="shared" si="44"/>
        <v>ExpVerbalAgitation</v>
      </c>
      <c r="E281" t="s">
        <v>466</v>
      </c>
      <c r="F281" t="str">
        <f t="shared" si="42"/>
        <v/>
      </c>
      <c r="G281" t="str">
        <f t="shared" si="42"/>
        <v/>
      </c>
      <c r="H281" t="str">
        <f t="shared" si="42"/>
        <v/>
      </c>
      <c r="I281" t="str">
        <f t="shared" si="42"/>
        <v/>
      </c>
      <c r="J281" t="str">
        <f t="shared" si="42"/>
        <v/>
      </c>
      <c r="K281" t="str">
        <f t="shared" si="42"/>
        <v/>
      </c>
      <c r="L281" t="str">
        <f t="shared" si="42"/>
        <v/>
      </c>
      <c r="M281" t="str">
        <f t="shared" si="42"/>
        <v/>
      </c>
      <c r="N281" t="str">
        <f t="shared" si="42"/>
        <v/>
      </c>
      <c r="O281" t="str">
        <f t="shared" si="42"/>
        <v/>
      </c>
      <c r="P281" t="str">
        <f t="shared" si="42"/>
        <v/>
      </c>
      <c r="Q281" t="str">
        <f t="shared" si="42"/>
        <v/>
      </c>
      <c r="R281" t="str">
        <f t="shared" si="45"/>
        <v/>
      </c>
    </row>
    <row r="282" spans="1:18" ht="15">
      <c r="A282" t="s">
        <v>40</v>
      </c>
      <c r="B282" t="str">
        <f t="shared" si="43"/>
        <v>Rank ExpPhysicalAgitation</v>
      </c>
      <c r="C282" t="str">
        <f t="shared" si="44"/>
        <v>ExpPhysicalAgitation</v>
      </c>
      <c r="E282" t="s">
        <v>466</v>
      </c>
      <c r="F282" t="str">
        <f t="shared" si="42"/>
        <v/>
      </c>
      <c r="G282" t="str">
        <f t="shared" si="42"/>
        <v/>
      </c>
      <c r="H282" t="str">
        <f t="shared" si="42"/>
        <v/>
      </c>
      <c r="I282" t="str">
        <f t="shared" si="42"/>
        <v/>
      </c>
      <c r="J282" t="str">
        <f t="shared" si="42"/>
        <v/>
      </c>
      <c r="K282" t="str">
        <f t="shared" si="42"/>
        <v/>
      </c>
      <c r="L282" t="str">
        <f t="shared" si="42"/>
        <v/>
      </c>
      <c r="M282" t="str">
        <f t="shared" si="42"/>
        <v/>
      </c>
      <c r="N282" t="str">
        <f t="shared" si="42"/>
        <v/>
      </c>
      <c r="O282" t="str">
        <f t="shared" si="42"/>
        <v/>
      </c>
      <c r="P282" t="str">
        <f t="shared" si="42"/>
        <v/>
      </c>
      <c r="Q282" t="str">
        <f t="shared" si="42"/>
        <v/>
      </c>
      <c r="R282" t="str">
        <f t="shared" si="45"/>
        <v/>
      </c>
    </row>
    <row r="283" spans="1:18" ht="15">
      <c r="A283" t="s">
        <v>40</v>
      </c>
      <c r="B283" t="str">
        <f t="shared" si="43"/>
        <v>Rank ExpInsomnia</v>
      </c>
      <c r="C283" t="str">
        <f t="shared" si="44"/>
        <v>ExpInsomnia</v>
      </c>
      <c r="E283" t="s">
        <v>466</v>
      </c>
      <c r="F283" t="str">
        <f t="shared" si="42"/>
        <v/>
      </c>
      <c r="G283" t="str">
        <f t="shared" si="42"/>
        <v/>
      </c>
      <c r="H283" t="str">
        <f t="shared" si="42"/>
        <v/>
      </c>
      <c r="I283" t="str">
        <f t="shared" si="42"/>
        <v/>
      </c>
      <c r="J283" t="str">
        <f t="shared" si="42"/>
        <v/>
      </c>
      <c r="K283" t="str">
        <f t="shared" si="42"/>
        <v/>
      </c>
      <c r="L283" t="str">
        <f t="shared" si="42"/>
        <v/>
      </c>
      <c r="M283" t="str">
        <f t="shared" si="42"/>
        <v/>
      </c>
      <c r="N283" t="str">
        <f t="shared" si="42"/>
        <v/>
      </c>
      <c r="O283" t="str">
        <f t="shared" si="42"/>
        <v/>
      </c>
      <c r="P283" t="str">
        <f t="shared" si="42"/>
        <v/>
      </c>
      <c r="Q283" t="str">
        <f t="shared" si="42"/>
        <v/>
      </c>
      <c r="R283" t="str">
        <f t="shared" si="45"/>
        <v/>
      </c>
    </row>
    <row r="284" spans="1:18" ht="15">
      <c r="A284" t="s">
        <v>40</v>
      </c>
      <c r="B284" t="str">
        <f t="shared" si="43"/>
        <v>Rank ExpNudity</v>
      </c>
      <c r="C284" t="str">
        <f t="shared" si="44"/>
        <v>ExpNudity</v>
      </c>
      <c r="E284" t="s">
        <v>466</v>
      </c>
      <c r="F284" t="str">
        <f t="shared" si="42"/>
        <v/>
      </c>
      <c r="G284" t="str">
        <f t="shared" si="42"/>
        <v/>
      </c>
      <c r="H284" t="str">
        <f t="shared" si="42"/>
        <v/>
      </c>
      <c r="I284" t="str">
        <f t="shared" si="42"/>
        <v/>
      </c>
      <c r="J284" t="str">
        <f t="shared" si="42"/>
        <v/>
      </c>
      <c r="K284" t="str">
        <f t="shared" si="42"/>
        <v/>
      </c>
      <c r="L284" t="str">
        <f t="shared" si="42"/>
        <v/>
      </c>
      <c r="M284" t="str">
        <f t="shared" si="42"/>
        <v/>
      </c>
      <c r="N284" t="str">
        <f t="shared" si="42"/>
        <v/>
      </c>
      <c r="O284" t="str">
        <f t="shared" si="42"/>
        <v/>
      </c>
      <c r="P284" t="str">
        <f t="shared" si="42"/>
        <v/>
      </c>
      <c r="Q284" t="str">
        <f t="shared" si="42"/>
        <v/>
      </c>
      <c r="R284" t="str">
        <f t="shared" si="45"/>
        <v/>
      </c>
    </row>
    <row r="285" spans="1:18" ht="15">
      <c r="A285" t="s">
        <v>40</v>
      </c>
      <c r="B285" t="str">
        <f t="shared" si="43"/>
        <v>Rank ExpSexualInappropriateness</v>
      </c>
      <c r="C285" t="str">
        <f t="shared" si="44"/>
        <v>ExpSexualInappropriateness</v>
      </c>
      <c r="E285" t="s">
        <v>466</v>
      </c>
      <c r="F285" t="str">
        <f aca="true" t="shared" si="46" ref="F285:Q287">IF(F$5,_xlfn.RANK.AVG(F263,F$247:F$265),"")</f>
        <v/>
      </c>
      <c r="G285" t="str">
        <f t="shared" si="46"/>
        <v/>
      </c>
      <c r="H285" t="str">
        <f t="shared" si="46"/>
        <v/>
      </c>
      <c r="I285" t="str">
        <f t="shared" si="46"/>
        <v/>
      </c>
      <c r="J285" t="str">
        <f t="shared" si="46"/>
        <v/>
      </c>
      <c r="K285" t="str">
        <f t="shared" si="46"/>
        <v/>
      </c>
      <c r="L285" t="str">
        <f t="shared" si="46"/>
        <v/>
      </c>
      <c r="M285" t="str">
        <f t="shared" si="46"/>
        <v/>
      </c>
      <c r="N285" t="str">
        <f t="shared" si="46"/>
        <v/>
      </c>
      <c r="O285" t="str">
        <f t="shared" si="46"/>
        <v/>
      </c>
      <c r="P285" t="str">
        <f t="shared" si="46"/>
        <v/>
      </c>
      <c r="Q285" t="str">
        <f t="shared" si="46"/>
        <v/>
      </c>
      <c r="R285" t="str">
        <f t="shared" si="45"/>
        <v/>
      </c>
    </row>
    <row r="286" spans="1:18" ht="15">
      <c r="A286" t="s">
        <v>40</v>
      </c>
      <c r="B286" t="str">
        <f t="shared" si="43"/>
        <v>Rank ExpDelusions</v>
      </c>
      <c r="C286" t="str">
        <f t="shared" si="44"/>
        <v>ExpDelusions</v>
      </c>
      <c r="E286" t="s">
        <v>466</v>
      </c>
      <c r="F286" t="str">
        <f t="shared" si="46"/>
        <v/>
      </c>
      <c r="G286" t="str">
        <f t="shared" si="46"/>
        <v/>
      </c>
      <c r="H286" t="str">
        <f t="shared" si="46"/>
        <v/>
      </c>
      <c r="I286" t="str">
        <f t="shared" si="46"/>
        <v/>
      </c>
      <c r="J286" t="str">
        <f t="shared" si="46"/>
        <v/>
      </c>
      <c r="K286" t="str">
        <f t="shared" si="46"/>
        <v/>
      </c>
      <c r="L286" t="str">
        <f t="shared" si="46"/>
        <v/>
      </c>
      <c r="M286" t="str">
        <f t="shared" si="46"/>
        <v/>
      </c>
      <c r="N286" t="str">
        <f t="shared" si="46"/>
        <v/>
      </c>
      <c r="O286" t="str">
        <f t="shared" si="46"/>
        <v/>
      </c>
      <c r="P286" t="str">
        <f t="shared" si="46"/>
        <v/>
      </c>
      <c r="Q286" t="str">
        <f t="shared" si="46"/>
        <v/>
      </c>
      <c r="R286" t="str">
        <f t="shared" si="45"/>
        <v/>
      </c>
    </row>
    <row r="287" spans="1:18" ht="15">
      <c r="A287" t="s">
        <v>40</v>
      </c>
      <c r="B287" t="str">
        <f t="shared" si="43"/>
        <v>Rank ExpHallucinations</v>
      </c>
      <c r="C287" t="str">
        <f t="shared" si="44"/>
        <v>ExpHallucinations</v>
      </c>
      <c r="E287" t="s">
        <v>466</v>
      </c>
      <c r="F287" t="str">
        <f t="shared" si="46"/>
        <v/>
      </c>
      <c r="G287" t="str">
        <f t="shared" si="46"/>
        <v/>
      </c>
      <c r="H287" t="str">
        <f t="shared" si="46"/>
        <v/>
      </c>
      <c r="I287" t="str">
        <f t="shared" si="46"/>
        <v/>
      </c>
      <c r="J287" t="str">
        <f t="shared" si="46"/>
        <v/>
      </c>
      <c r="K287" t="str">
        <f t="shared" si="46"/>
        <v/>
      </c>
      <c r="L287" t="str">
        <f t="shared" si="46"/>
        <v/>
      </c>
      <c r="M287" t="str">
        <f t="shared" si="46"/>
        <v/>
      </c>
      <c r="N287" t="str">
        <f t="shared" si="46"/>
        <v/>
      </c>
      <c r="O287" t="str">
        <f t="shared" si="46"/>
        <v/>
      </c>
      <c r="P287" t="str">
        <f t="shared" si="46"/>
        <v/>
      </c>
      <c r="Q287" t="str">
        <f t="shared" si="46"/>
        <v/>
      </c>
      <c r="R287" t="str">
        <f t="shared" si="45"/>
        <v/>
      </c>
    </row>
    <row r="288" spans="1:18" ht="15">
      <c r="A288" t="s">
        <v>40</v>
      </c>
      <c r="B288" t="str">
        <f>"Expression rank "&amp;C288</f>
        <v>Expression rank 1</v>
      </c>
      <c r="C288">
        <v>1</v>
      </c>
      <c r="E288" t="s">
        <v>466</v>
      </c>
      <c r="F288" t="str">
        <f>IF(F$5,INDEX(InputLists!$R:$R,MATCH(INDEX($C$269:$C$287,MATCH($C288,F$269:F$287,0)),InputLists!$Q:$Q,0)),"")</f>
        <v/>
      </c>
      <c r="G288" t="str">
        <f>IF(G$5,INDEX(InputLists!$R:$R,MATCH(INDEX($C$269:$C$287,MATCH($C288,G$269:G$287,0)),InputLists!$Q:$Q,0)),"")</f>
        <v/>
      </c>
      <c r="H288" t="str">
        <f>IF(H$5,INDEX(InputLists!$R:$R,MATCH(INDEX($C$269:$C$287,MATCH($C288,H$269:H$287,0)),InputLists!$Q:$Q,0)),"")</f>
        <v/>
      </c>
      <c r="I288" t="str">
        <f>IF(I$5,INDEX(InputLists!$R:$R,MATCH(INDEX($C$269:$C$287,MATCH($C288,I$269:I$287,0)),InputLists!$Q:$Q,0)),"")</f>
        <v/>
      </c>
      <c r="J288" t="str">
        <f>IF(J$5,INDEX(InputLists!$R:$R,MATCH(INDEX($C$269:$C$287,MATCH($C288,J$269:J$287,0)),InputLists!$Q:$Q,0)),"")</f>
        <v/>
      </c>
      <c r="K288" t="str">
        <f>IF(K$5,INDEX(InputLists!$R:$R,MATCH(INDEX($C$269:$C$287,MATCH($C288,K$269:K$287,0)),InputLists!$Q:$Q,0)),"")</f>
        <v/>
      </c>
      <c r="L288" t="str">
        <f>IF(L$5,INDEX(InputLists!$R:$R,MATCH(INDEX($C$269:$C$287,MATCH($C288,L$269:L$287,0)),InputLists!$Q:$Q,0)),"")</f>
        <v/>
      </c>
      <c r="M288" t="str">
        <f>IF(M$5,INDEX(InputLists!$R:$R,MATCH(INDEX($C$269:$C$287,MATCH($C288,M$269:M$287,0)),InputLists!$Q:$Q,0)),"")</f>
        <v/>
      </c>
      <c r="N288" t="str">
        <f>IF(N$5,INDEX(InputLists!$R:$R,MATCH(INDEX($C$269:$C$287,MATCH($C288,N$269:N$287,0)),InputLists!$Q:$Q,0)),"")</f>
        <v/>
      </c>
      <c r="O288" t="str">
        <f>IF(O$5,INDEX(InputLists!$R:$R,MATCH(INDEX($C$269:$C$287,MATCH($C288,O$269:O$287,0)),InputLists!$Q:$Q,0)),"")</f>
        <v/>
      </c>
      <c r="P288" t="str">
        <f>IF(P$5,INDEX(InputLists!$R:$R,MATCH(INDEX($C$269:$C$287,MATCH($C288,P$269:P$287,0)),InputLists!$Q:$Q,0)),"")</f>
        <v/>
      </c>
      <c r="Q288" t="str">
        <f>IF(Q$5,INDEX(InputLists!$R:$R,MATCH(INDEX($C$269:$C$287,MATCH($C288,Q$269:Q$287,0)),InputLists!$Q:$Q,0)),"")</f>
        <v/>
      </c>
      <c r="R288" t="str">
        <f>IF(R$5,INDEX(InputLists!$R:$R,MATCH(INDEX($C$269:$C$287,MATCH($C288,R$269:R$287,0)),InputLists!$Q:$Q,0)),"")</f>
        <v/>
      </c>
    </row>
    <row r="289" spans="1:18" ht="15">
      <c r="A289" t="s">
        <v>40</v>
      </c>
      <c r="B289" t="str">
        <f aca="true" t="shared" si="47" ref="B289:B297">"Expression rank "&amp;C289</f>
        <v>Expression rank 2</v>
      </c>
      <c r="C289">
        <f>1+C288</f>
        <v>2</v>
      </c>
      <c r="E289" t="s">
        <v>466</v>
      </c>
      <c r="F289" t="str">
        <f>IF(F$5,INDEX(InputLists!$R:$R,MATCH(INDEX($C$269:$C$287,MATCH($C289,F$269:F$287,0)),InputLists!$Q:$Q,0)),"")</f>
        <v/>
      </c>
      <c r="G289" t="str">
        <f>IF(G$5,INDEX(InputLists!$R:$R,MATCH(INDEX($C$269:$C$287,MATCH($C289,G$269:G$287,0)),InputLists!$Q:$Q,0)),"")</f>
        <v/>
      </c>
      <c r="H289" t="str">
        <f>IF(H$5,INDEX(InputLists!$R:$R,MATCH(INDEX($C$269:$C$287,MATCH($C289,H$269:H$287,0)),InputLists!$Q:$Q,0)),"")</f>
        <v/>
      </c>
      <c r="I289" t="str">
        <f>IF(I$5,INDEX(InputLists!$R:$R,MATCH(INDEX($C$269:$C$287,MATCH($C289,I$269:I$287,0)),InputLists!$Q:$Q,0)),"")</f>
        <v/>
      </c>
      <c r="J289" t="str">
        <f>IF(J$5,INDEX(InputLists!$R:$R,MATCH(INDEX($C$269:$C$287,MATCH($C289,J$269:J$287,0)),InputLists!$Q:$Q,0)),"")</f>
        <v/>
      </c>
      <c r="K289" t="str">
        <f>IF(K$5,INDEX(InputLists!$R:$R,MATCH(INDEX($C$269:$C$287,MATCH($C289,K$269:K$287,0)),InputLists!$Q:$Q,0)),"")</f>
        <v/>
      </c>
      <c r="L289" t="str">
        <f>IF(L$5,INDEX(InputLists!$R:$R,MATCH(INDEX($C$269:$C$287,MATCH($C289,L$269:L$287,0)),InputLists!$Q:$Q,0)),"")</f>
        <v/>
      </c>
      <c r="M289" t="str">
        <f>IF(M$5,INDEX(InputLists!$R:$R,MATCH(INDEX($C$269:$C$287,MATCH($C289,M$269:M$287,0)),InputLists!$Q:$Q,0)),"")</f>
        <v/>
      </c>
      <c r="N289" t="str">
        <f>IF(N$5,INDEX(InputLists!$R:$R,MATCH(INDEX($C$269:$C$287,MATCH($C289,N$269:N$287,0)),InputLists!$Q:$Q,0)),"")</f>
        <v/>
      </c>
      <c r="O289" t="str">
        <f>IF(O$5,INDEX(InputLists!$R:$R,MATCH(INDEX($C$269:$C$287,MATCH($C289,O$269:O$287,0)),InputLists!$Q:$Q,0)),"")</f>
        <v/>
      </c>
      <c r="P289" t="str">
        <f>IF(P$5,INDEX(InputLists!$R:$R,MATCH(INDEX($C$269:$C$287,MATCH($C289,P$269:P$287,0)),InputLists!$Q:$Q,0)),"")</f>
        <v/>
      </c>
      <c r="Q289" t="str">
        <f>IF(Q$5,INDEX(InputLists!$R:$R,MATCH(INDEX($C$269:$C$287,MATCH($C289,Q$269:Q$287,0)),InputLists!$Q:$Q,0)),"")</f>
        <v/>
      </c>
      <c r="R289" t="str">
        <f>IF(R$5,INDEX(InputLists!$R:$R,MATCH(INDEX($C$269:$C$287,MATCH($C289,R$269:R$287,0)),InputLists!$Q:$Q,0)),"")</f>
        <v/>
      </c>
    </row>
    <row r="290" spans="1:18" ht="15">
      <c r="A290" t="s">
        <v>40</v>
      </c>
      <c r="B290" t="str">
        <f t="shared" si="47"/>
        <v>Expression rank 3</v>
      </c>
      <c r="C290">
        <f aca="true" t="shared" si="48" ref="C290:C297">1+C289</f>
        <v>3</v>
      </c>
      <c r="E290" t="s">
        <v>466</v>
      </c>
      <c r="F290" t="str">
        <f>IF(F$5,INDEX(InputLists!$R:$R,MATCH(INDEX($C$269:$C$287,MATCH($C290,F$269:F$287,0)),InputLists!$Q:$Q,0)),"")</f>
        <v/>
      </c>
      <c r="G290" t="str">
        <f>IF(G$5,INDEX(InputLists!$R:$R,MATCH(INDEX($C$269:$C$287,MATCH($C290,G$269:G$287,0)),InputLists!$Q:$Q,0)),"")</f>
        <v/>
      </c>
      <c r="H290" t="str">
        <f>IF(H$5,INDEX(InputLists!$R:$R,MATCH(INDEX($C$269:$C$287,MATCH($C290,H$269:H$287,0)),InputLists!$Q:$Q,0)),"")</f>
        <v/>
      </c>
      <c r="I290" t="str">
        <f>IF(I$5,INDEX(InputLists!$R:$R,MATCH(INDEX($C$269:$C$287,MATCH($C290,I$269:I$287,0)),InputLists!$Q:$Q,0)),"")</f>
        <v/>
      </c>
      <c r="J290" t="str">
        <f>IF(J$5,INDEX(InputLists!$R:$R,MATCH(INDEX($C$269:$C$287,MATCH($C290,J$269:J$287,0)),InputLists!$Q:$Q,0)),"")</f>
        <v/>
      </c>
      <c r="K290" t="str">
        <f>IF(K$5,INDEX(InputLists!$R:$R,MATCH(INDEX($C$269:$C$287,MATCH($C290,K$269:K$287,0)),InputLists!$Q:$Q,0)),"")</f>
        <v/>
      </c>
      <c r="L290" t="str">
        <f>IF(L$5,INDEX(InputLists!$R:$R,MATCH(INDEX($C$269:$C$287,MATCH($C290,L$269:L$287,0)),InputLists!$Q:$Q,0)),"")</f>
        <v/>
      </c>
      <c r="M290" t="str">
        <f>IF(M$5,INDEX(InputLists!$R:$R,MATCH(INDEX($C$269:$C$287,MATCH($C290,M$269:M$287,0)),InputLists!$Q:$Q,0)),"")</f>
        <v/>
      </c>
      <c r="N290" t="str">
        <f>IF(N$5,INDEX(InputLists!$R:$R,MATCH(INDEX($C$269:$C$287,MATCH($C290,N$269:N$287,0)),InputLists!$Q:$Q,0)),"")</f>
        <v/>
      </c>
      <c r="O290" t="str">
        <f>IF(O$5,INDEX(InputLists!$R:$R,MATCH(INDEX($C$269:$C$287,MATCH($C290,O$269:O$287,0)),InputLists!$Q:$Q,0)),"")</f>
        <v/>
      </c>
      <c r="P290" t="str">
        <f>IF(P$5,INDEX(InputLists!$R:$R,MATCH(INDEX($C$269:$C$287,MATCH($C290,P$269:P$287,0)),InputLists!$Q:$Q,0)),"")</f>
        <v/>
      </c>
      <c r="Q290" t="str">
        <f>IF(Q$5,INDEX(InputLists!$R:$R,MATCH(INDEX($C$269:$C$287,MATCH($C290,Q$269:Q$287,0)),InputLists!$Q:$Q,0)),"")</f>
        <v/>
      </c>
      <c r="R290" t="str">
        <f>IF(R$5,INDEX(InputLists!$R:$R,MATCH(INDEX($C$269:$C$287,MATCH($C290,R$269:R$287,0)),InputLists!$Q:$Q,0)),"")</f>
        <v/>
      </c>
    </row>
    <row r="291" spans="1:18" ht="15">
      <c r="A291" t="s">
        <v>40</v>
      </c>
      <c r="B291" t="str">
        <f t="shared" si="47"/>
        <v>Expression rank 4</v>
      </c>
      <c r="C291">
        <f t="shared" si="48"/>
        <v>4</v>
      </c>
      <c r="E291" t="s">
        <v>466</v>
      </c>
      <c r="F291" t="str">
        <f>IF(F$5,INDEX(InputLists!$R:$R,MATCH(INDEX($C$269:$C$287,MATCH($C291,F$269:F$287,0)),InputLists!$Q:$Q,0)),"")</f>
        <v/>
      </c>
      <c r="G291" t="str">
        <f>IF(G$5,INDEX(InputLists!$R:$R,MATCH(INDEX($C$269:$C$287,MATCH($C291,G$269:G$287,0)),InputLists!$Q:$Q,0)),"")</f>
        <v/>
      </c>
      <c r="H291" t="str">
        <f>IF(H$5,INDEX(InputLists!$R:$R,MATCH(INDEX($C$269:$C$287,MATCH($C291,H$269:H$287,0)),InputLists!$Q:$Q,0)),"")</f>
        <v/>
      </c>
      <c r="I291" t="str">
        <f>IF(I$5,INDEX(InputLists!$R:$R,MATCH(INDEX($C$269:$C$287,MATCH($C291,I$269:I$287,0)),InputLists!$Q:$Q,0)),"")</f>
        <v/>
      </c>
      <c r="J291" t="str">
        <f>IF(J$5,INDEX(InputLists!$R:$R,MATCH(INDEX($C$269:$C$287,MATCH($C291,J$269:J$287,0)),InputLists!$Q:$Q,0)),"")</f>
        <v/>
      </c>
      <c r="K291" t="str">
        <f>IF(K$5,INDEX(InputLists!$R:$R,MATCH(INDEX($C$269:$C$287,MATCH($C291,K$269:K$287,0)),InputLists!$Q:$Q,0)),"")</f>
        <v/>
      </c>
      <c r="L291" t="str">
        <f>IF(L$5,INDEX(InputLists!$R:$R,MATCH(INDEX($C$269:$C$287,MATCH($C291,L$269:L$287,0)),InputLists!$Q:$Q,0)),"")</f>
        <v/>
      </c>
      <c r="M291" t="str">
        <f>IF(M$5,INDEX(InputLists!$R:$R,MATCH(INDEX($C$269:$C$287,MATCH($C291,M$269:M$287,0)),InputLists!$Q:$Q,0)),"")</f>
        <v/>
      </c>
      <c r="N291" t="str">
        <f>IF(N$5,INDEX(InputLists!$R:$R,MATCH(INDEX($C$269:$C$287,MATCH($C291,N$269:N$287,0)),InputLists!$Q:$Q,0)),"")</f>
        <v/>
      </c>
      <c r="O291" t="str">
        <f>IF(O$5,INDEX(InputLists!$R:$R,MATCH(INDEX($C$269:$C$287,MATCH($C291,O$269:O$287,0)),InputLists!$Q:$Q,0)),"")</f>
        <v/>
      </c>
      <c r="P291" t="str">
        <f>IF(P$5,INDEX(InputLists!$R:$R,MATCH(INDEX($C$269:$C$287,MATCH($C291,P$269:P$287,0)),InputLists!$Q:$Q,0)),"")</f>
        <v/>
      </c>
      <c r="Q291" t="str">
        <f>IF(Q$5,INDEX(InputLists!$R:$R,MATCH(INDEX($C$269:$C$287,MATCH($C291,Q$269:Q$287,0)),InputLists!$Q:$Q,0)),"")</f>
        <v/>
      </c>
      <c r="R291" t="str">
        <f>IF(R$5,INDEX(InputLists!$R:$R,MATCH(INDEX($C$269:$C$287,MATCH($C291,R$269:R$287,0)),InputLists!$Q:$Q,0)),"")</f>
        <v/>
      </c>
    </row>
    <row r="292" spans="1:18" ht="15">
      <c r="A292" t="s">
        <v>40</v>
      </c>
      <c r="B292" t="str">
        <f t="shared" si="47"/>
        <v>Expression rank 5</v>
      </c>
      <c r="C292">
        <f t="shared" si="48"/>
        <v>5</v>
      </c>
      <c r="E292" t="s">
        <v>466</v>
      </c>
      <c r="F292" t="str">
        <f>IF(F$5,INDEX(InputLists!$R:$R,MATCH(INDEX($C$269:$C$287,MATCH($C292,F$269:F$287,0)),InputLists!$Q:$Q,0)),"")</f>
        <v/>
      </c>
      <c r="G292" t="str">
        <f>IF(G$5,INDEX(InputLists!$R:$R,MATCH(INDEX($C$269:$C$287,MATCH($C292,G$269:G$287,0)),InputLists!$Q:$Q,0)),"")</f>
        <v/>
      </c>
      <c r="H292" t="str">
        <f>IF(H$5,INDEX(InputLists!$R:$R,MATCH(INDEX($C$269:$C$287,MATCH($C292,H$269:H$287,0)),InputLists!$Q:$Q,0)),"")</f>
        <v/>
      </c>
      <c r="I292" t="str">
        <f>IF(I$5,INDEX(InputLists!$R:$R,MATCH(INDEX($C$269:$C$287,MATCH($C292,I$269:I$287,0)),InputLists!$Q:$Q,0)),"")</f>
        <v/>
      </c>
      <c r="J292" t="str">
        <f>IF(J$5,INDEX(InputLists!$R:$R,MATCH(INDEX($C$269:$C$287,MATCH($C292,J$269:J$287,0)),InputLists!$Q:$Q,0)),"")</f>
        <v/>
      </c>
      <c r="K292" t="str">
        <f>IF(K$5,INDEX(InputLists!$R:$R,MATCH(INDEX($C$269:$C$287,MATCH($C292,K$269:K$287,0)),InputLists!$Q:$Q,0)),"")</f>
        <v/>
      </c>
      <c r="L292" t="str">
        <f>IF(L$5,INDEX(InputLists!$R:$R,MATCH(INDEX($C$269:$C$287,MATCH($C292,L$269:L$287,0)),InputLists!$Q:$Q,0)),"")</f>
        <v/>
      </c>
      <c r="M292" t="str">
        <f>IF(M$5,INDEX(InputLists!$R:$R,MATCH(INDEX($C$269:$C$287,MATCH($C292,M$269:M$287,0)),InputLists!$Q:$Q,0)),"")</f>
        <v/>
      </c>
      <c r="N292" t="str">
        <f>IF(N$5,INDEX(InputLists!$R:$R,MATCH(INDEX($C$269:$C$287,MATCH($C292,N$269:N$287,0)),InputLists!$Q:$Q,0)),"")</f>
        <v/>
      </c>
      <c r="O292" t="str">
        <f>IF(O$5,INDEX(InputLists!$R:$R,MATCH(INDEX($C$269:$C$287,MATCH($C292,O$269:O$287,0)),InputLists!$Q:$Q,0)),"")</f>
        <v/>
      </c>
      <c r="P292" t="str">
        <f>IF(P$5,INDEX(InputLists!$R:$R,MATCH(INDEX($C$269:$C$287,MATCH($C292,P$269:P$287,0)),InputLists!$Q:$Q,0)),"")</f>
        <v/>
      </c>
      <c r="Q292" t="str">
        <f>IF(Q$5,INDEX(InputLists!$R:$R,MATCH(INDEX($C$269:$C$287,MATCH($C292,Q$269:Q$287,0)),InputLists!$Q:$Q,0)),"")</f>
        <v/>
      </c>
      <c r="R292" t="str">
        <f>IF(R$5,INDEX(InputLists!$R:$R,MATCH(INDEX($C$269:$C$287,MATCH($C292,R$269:R$287,0)),InputLists!$Q:$Q,0)),"")</f>
        <v/>
      </c>
    </row>
    <row r="293" spans="1:18" ht="15">
      <c r="A293" t="s">
        <v>40</v>
      </c>
      <c r="B293" t="str">
        <f t="shared" si="47"/>
        <v>Expression rank 6</v>
      </c>
      <c r="C293">
        <f t="shared" si="48"/>
        <v>6</v>
      </c>
      <c r="E293" t="s">
        <v>466</v>
      </c>
      <c r="F293" t="str">
        <f>IF(F$5,INDEX(InputLists!$R:$R,MATCH(INDEX($C$269:$C$287,MATCH($C293,F$269:F$287,0)),InputLists!$Q:$Q,0)),"")</f>
        <v/>
      </c>
      <c r="G293" t="str">
        <f>IF(G$5,INDEX(InputLists!$R:$R,MATCH(INDEX($C$269:$C$287,MATCH($C293,G$269:G$287,0)),InputLists!$Q:$Q,0)),"")</f>
        <v/>
      </c>
      <c r="H293" t="str">
        <f>IF(H$5,INDEX(InputLists!$R:$R,MATCH(INDEX($C$269:$C$287,MATCH($C293,H$269:H$287,0)),InputLists!$Q:$Q,0)),"")</f>
        <v/>
      </c>
      <c r="I293" t="str">
        <f>IF(I$5,INDEX(InputLists!$R:$R,MATCH(INDEX($C$269:$C$287,MATCH($C293,I$269:I$287,0)),InputLists!$Q:$Q,0)),"")</f>
        <v/>
      </c>
      <c r="J293" t="str">
        <f>IF(J$5,INDEX(InputLists!$R:$R,MATCH(INDEX($C$269:$C$287,MATCH($C293,J$269:J$287,0)),InputLists!$Q:$Q,0)),"")</f>
        <v/>
      </c>
      <c r="K293" t="str">
        <f>IF(K$5,INDEX(InputLists!$R:$R,MATCH(INDEX($C$269:$C$287,MATCH($C293,K$269:K$287,0)),InputLists!$Q:$Q,0)),"")</f>
        <v/>
      </c>
      <c r="L293" t="str">
        <f>IF(L$5,INDEX(InputLists!$R:$R,MATCH(INDEX($C$269:$C$287,MATCH($C293,L$269:L$287,0)),InputLists!$Q:$Q,0)),"")</f>
        <v/>
      </c>
      <c r="M293" t="str">
        <f>IF(M$5,INDEX(InputLists!$R:$R,MATCH(INDEX($C$269:$C$287,MATCH($C293,M$269:M$287,0)),InputLists!$Q:$Q,0)),"")</f>
        <v/>
      </c>
      <c r="N293" t="str">
        <f>IF(N$5,INDEX(InputLists!$R:$R,MATCH(INDEX($C$269:$C$287,MATCH($C293,N$269:N$287,0)),InputLists!$Q:$Q,0)),"")</f>
        <v/>
      </c>
      <c r="O293" t="str">
        <f>IF(O$5,INDEX(InputLists!$R:$R,MATCH(INDEX($C$269:$C$287,MATCH($C293,O$269:O$287,0)),InputLists!$Q:$Q,0)),"")</f>
        <v/>
      </c>
      <c r="P293" t="str">
        <f>IF(P$5,INDEX(InputLists!$R:$R,MATCH(INDEX($C$269:$C$287,MATCH($C293,P$269:P$287,0)),InputLists!$Q:$Q,0)),"")</f>
        <v/>
      </c>
      <c r="Q293" t="str">
        <f>IF(Q$5,INDEX(InputLists!$R:$R,MATCH(INDEX($C$269:$C$287,MATCH($C293,Q$269:Q$287,0)),InputLists!$Q:$Q,0)),"")</f>
        <v/>
      </c>
      <c r="R293" t="str">
        <f>IF(R$5,INDEX(InputLists!$R:$R,MATCH(INDEX($C$269:$C$287,MATCH($C293,R$269:R$287,0)),InputLists!$Q:$Q,0)),"")</f>
        <v/>
      </c>
    </row>
    <row r="294" spans="1:18" ht="15">
      <c r="A294" t="s">
        <v>40</v>
      </c>
      <c r="B294" t="str">
        <f t="shared" si="47"/>
        <v>Expression rank 7</v>
      </c>
      <c r="C294">
        <f t="shared" si="48"/>
        <v>7</v>
      </c>
      <c r="E294" t="s">
        <v>466</v>
      </c>
      <c r="F294" t="str">
        <f>IF(F$5,INDEX(InputLists!$R:$R,MATCH(INDEX($C$269:$C$287,MATCH($C294,F$269:F$287,0)),InputLists!$Q:$Q,0)),"")</f>
        <v/>
      </c>
      <c r="G294" t="str">
        <f>IF(G$5,INDEX(InputLists!$R:$R,MATCH(INDEX($C$269:$C$287,MATCH($C294,G$269:G$287,0)),InputLists!$Q:$Q,0)),"")</f>
        <v/>
      </c>
      <c r="H294" t="str">
        <f>IF(H$5,INDEX(InputLists!$R:$R,MATCH(INDEX($C$269:$C$287,MATCH($C294,H$269:H$287,0)),InputLists!$Q:$Q,0)),"")</f>
        <v/>
      </c>
      <c r="I294" t="str">
        <f>IF(I$5,INDEX(InputLists!$R:$R,MATCH(INDEX($C$269:$C$287,MATCH($C294,I$269:I$287,0)),InputLists!$Q:$Q,0)),"")</f>
        <v/>
      </c>
      <c r="J294" t="str">
        <f>IF(J$5,INDEX(InputLists!$R:$R,MATCH(INDEX($C$269:$C$287,MATCH($C294,J$269:J$287,0)),InputLists!$Q:$Q,0)),"")</f>
        <v/>
      </c>
      <c r="K294" t="str">
        <f>IF(K$5,INDEX(InputLists!$R:$R,MATCH(INDEX($C$269:$C$287,MATCH($C294,K$269:K$287,0)),InputLists!$Q:$Q,0)),"")</f>
        <v/>
      </c>
      <c r="L294" t="str">
        <f>IF(L$5,INDEX(InputLists!$R:$R,MATCH(INDEX($C$269:$C$287,MATCH($C294,L$269:L$287,0)),InputLists!$Q:$Q,0)),"")</f>
        <v/>
      </c>
      <c r="M294" t="str">
        <f>IF(M$5,INDEX(InputLists!$R:$R,MATCH(INDEX($C$269:$C$287,MATCH($C294,M$269:M$287,0)),InputLists!$Q:$Q,0)),"")</f>
        <v/>
      </c>
      <c r="N294" t="str">
        <f>IF(N$5,INDEX(InputLists!$R:$R,MATCH(INDEX($C$269:$C$287,MATCH($C294,N$269:N$287,0)),InputLists!$Q:$Q,0)),"")</f>
        <v/>
      </c>
      <c r="O294" t="str">
        <f>IF(O$5,INDEX(InputLists!$R:$R,MATCH(INDEX($C$269:$C$287,MATCH($C294,O$269:O$287,0)),InputLists!$Q:$Q,0)),"")</f>
        <v/>
      </c>
      <c r="P294" t="str">
        <f>IF(P$5,INDEX(InputLists!$R:$R,MATCH(INDEX($C$269:$C$287,MATCH($C294,P$269:P$287,0)),InputLists!$Q:$Q,0)),"")</f>
        <v/>
      </c>
      <c r="Q294" t="str">
        <f>IF(Q$5,INDEX(InputLists!$R:$R,MATCH(INDEX($C$269:$C$287,MATCH($C294,Q$269:Q$287,0)),InputLists!$Q:$Q,0)),"")</f>
        <v/>
      </c>
      <c r="R294" t="str">
        <f>IF(R$5,INDEX(InputLists!$R:$R,MATCH(INDEX($C$269:$C$287,MATCH($C294,R$269:R$287,0)),InputLists!$Q:$Q,0)),"")</f>
        <v/>
      </c>
    </row>
    <row r="295" spans="1:18" ht="15">
      <c r="A295" t="s">
        <v>40</v>
      </c>
      <c r="B295" t="str">
        <f t="shared" si="47"/>
        <v>Expression rank 8</v>
      </c>
      <c r="C295">
        <f t="shared" si="48"/>
        <v>8</v>
      </c>
      <c r="E295" t="s">
        <v>466</v>
      </c>
      <c r="F295" t="str">
        <f>IF(F$5,INDEX(InputLists!$R:$R,MATCH(INDEX($C$269:$C$287,MATCH($C295,F$269:F$287,0)),InputLists!$Q:$Q,0)),"")</f>
        <v/>
      </c>
      <c r="G295" t="str">
        <f>IF(G$5,INDEX(InputLists!$R:$R,MATCH(INDEX($C$269:$C$287,MATCH($C295,G$269:G$287,0)),InputLists!$Q:$Q,0)),"")</f>
        <v/>
      </c>
      <c r="H295" t="str">
        <f>IF(H$5,INDEX(InputLists!$R:$R,MATCH(INDEX($C$269:$C$287,MATCH($C295,H$269:H$287,0)),InputLists!$Q:$Q,0)),"")</f>
        <v/>
      </c>
      <c r="I295" t="str">
        <f>IF(I$5,INDEX(InputLists!$R:$R,MATCH(INDEX($C$269:$C$287,MATCH($C295,I$269:I$287,0)),InputLists!$Q:$Q,0)),"")</f>
        <v/>
      </c>
      <c r="J295" t="str">
        <f>IF(J$5,INDEX(InputLists!$R:$R,MATCH(INDEX($C$269:$C$287,MATCH($C295,J$269:J$287,0)),InputLists!$Q:$Q,0)),"")</f>
        <v/>
      </c>
      <c r="K295" t="str">
        <f>IF(K$5,INDEX(InputLists!$R:$R,MATCH(INDEX($C$269:$C$287,MATCH($C295,K$269:K$287,0)),InputLists!$Q:$Q,0)),"")</f>
        <v/>
      </c>
      <c r="L295" t="str">
        <f>IF(L$5,INDEX(InputLists!$R:$R,MATCH(INDEX($C$269:$C$287,MATCH($C295,L$269:L$287,0)),InputLists!$Q:$Q,0)),"")</f>
        <v/>
      </c>
      <c r="M295" t="str">
        <f>IF(M$5,INDEX(InputLists!$R:$R,MATCH(INDEX($C$269:$C$287,MATCH($C295,M$269:M$287,0)),InputLists!$Q:$Q,0)),"")</f>
        <v/>
      </c>
      <c r="N295" t="str">
        <f>IF(N$5,INDEX(InputLists!$R:$R,MATCH(INDEX($C$269:$C$287,MATCH($C295,N$269:N$287,0)),InputLists!$Q:$Q,0)),"")</f>
        <v/>
      </c>
      <c r="O295" t="str">
        <f>IF(O$5,INDEX(InputLists!$R:$R,MATCH(INDEX($C$269:$C$287,MATCH($C295,O$269:O$287,0)),InputLists!$Q:$Q,0)),"")</f>
        <v/>
      </c>
      <c r="P295" t="str">
        <f>IF(P$5,INDEX(InputLists!$R:$R,MATCH(INDEX($C$269:$C$287,MATCH($C295,P$269:P$287,0)),InputLists!$Q:$Q,0)),"")</f>
        <v/>
      </c>
      <c r="Q295" t="str">
        <f>IF(Q$5,INDEX(InputLists!$R:$R,MATCH(INDEX($C$269:$C$287,MATCH($C295,Q$269:Q$287,0)),InputLists!$Q:$Q,0)),"")</f>
        <v/>
      </c>
      <c r="R295" t="str">
        <f>IF(R$5,INDEX(InputLists!$R:$R,MATCH(INDEX($C$269:$C$287,MATCH($C295,R$269:R$287,0)),InputLists!$Q:$Q,0)),"")</f>
        <v/>
      </c>
    </row>
    <row r="296" spans="1:18" ht="15">
      <c r="A296" t="s">
        <v>40</v>
      </c>
      <c r="B296" t="str">
        <f t="shared" si="47"/>
        <v>Expression rank 9</v>
      </c>
      <c r="C296">
        <f t="shared" si="48"/>
        <v>9</v>
      </c>
      <c r="E296" t="s">
        <v>466</v>
      </c>
      <c r="F296" t="str">
        <f>IF(F$5,INDEX(InputLists!$R:$R,MATCH(INDEX($C$269:$C$287,MATCH($C296,F$269:F$287,0)),InputLists!$Q:$Q,0)),"")</f>
        <v/>
      </c>
      <c r="G296" t="str">
        <f>IF(G$5,INDEX(InputLists!$R:$R,MATCH(INDEX($C$269:$C$287,MATCH($C296,G$269:G$287,0)),InputLists!$Q:$Q,0)),"")</f>
        <v/>
      </c>
      <c r="H296" t="str">
        <f>IF(H$5,INDEX(InputLists!$R:$R,MATCH(INDEX($C$269:$C$287,MATCH($C296,H$269:H$287,0)),InputLists!$Q:$Q,0)),"")</f>
        <v/>
      </c>
      <c r="I296" t="str">
        <f>IF(I$5,INDEX(InputLists!$R:$R,MATCH(INDEX($C$269:$C$287,MATCH($C296,I$269:I$287,0)),InputLists!$Q:$Q,0)),"")</f>
        <v/>
      </c>
      <c r="J296" t="str">
        <f>IF(J$5,INDEX(InputLists!$R:$R,MATCH(INDEX($C$269:$C$287,MATCH($C296,J$269:J$287,0)),InputLists!$Q:$Q,0)),"")</f>
        <v/>
      </c>
      <c r="K296" t="str">
        <f>IF(K$5,INDEX(InputLists!$R:$R,MATCH(INDEX($C$269:$C$287,MATCH($C296,K$269:K$287,0)),InputLists!$Q:$Q,0)),"")</f>
        <v/>
      </c>
      <c r="L296" t="str">
        <f>IF(L$5,INDEX(InputLists!$R:$R,MATCH(INDEX($C$269:$C$287,MATCH($C296,L$269:L$287,0)),InputLists!$Q:$Q,0)),"")</f>
        <v/>
      </c>
      <c r="M296" t="str">
        <f>IF(M$5,INDEX(InputLists!$R:$R,MATCH(INDEX($C$269:$C$287,MATCH($C296,M$269:M$287,0)),InputLists!$Q:$Q,0)),"")</f>
        <v/>
      </c>
      <c r="N296" t="str">
        <f>IF(N$5,INDEX(InputLists!$R:$R,MATCH(INDEX($C$269:$C$287,MATCH($C296,N$269:N$287,0)),InputLists!$Q:$Q,0)),"")</f>
        <v/>
      </c>
      <c r="O296" t="str">
        <f>IF(O$5,INDEX(InputLists!$R:$R,MATCH(INDEX($C$269:$C$287,MATCH($C296,O$269:O$287,0)),InputLists!$Q:$Q,0)),"")</f>
        <v/>
      </c>
      <c r="P296" t="str">
        <f>IF(P$5,INDEX(InputLists!$R:$R,MATCH(INDEX($C$269:$C$287,MATCH($C296,P$269:P$287,0)),InputLists!$Q:$Q,0)),"")</f>
        <v/>
      </c>
      <c r="Q296" t="str">
        <f>IF(Q$5,INDEX(InputLists!$R:$R,MATCH(INDEX($C$269:$C$287,MATCH($C296,Q$269:Q$287,0)),InputLists!$Q:$Q,0)),"")</f>
        <v/>
      </c>
      <c r="R296" t="str">
        <f>IF(R$5,INDEX(InputLists!$R:$R,MATCH(INDEX($C$269:$C$287,MATCH($C296,R$269:R$287,0)),InputLists!$Q:$Q,0)),"")</f>
        <v/>
      </c>
    </row>
    <row r="297" spans="1:18" ht="15">
      <c r="A297" t="s">
        <v>40</v>
      </c>
      <c r="B297" t="str">
        <f t="shared" si="47"/>
        <v>Expression rank 10</v>
      </c>
      <c r="C297">
        <f t="shared" si="48"/>
        <v>10</v>
      </c>
      <c r="E297" t="s">
        <v>466</v>
      </c>
      <c r="F297" t="str">
        <f>IF(F$5,INDEX(InputLists!$R:$R,MATCH(INDEX($C$269:$C$287,MATCH($C297,F$269:F$287,0)),InputLists!$Q:$Q,0)),"")</f>
        <v/>
      </c>
      <c r="G297" t="str">
        <f>IF(G$5,INDEX(InputLists!$R:$R,MATCH(INDEX($C$269:$C$287,MATCH($C297,G$269:G$287,0)),InputLists!$Q:$Q,0)),"")</f>
        <v/>
      </c>
      <c r="H297" t="str">
        <f>IF(H$5,INDEX(InputLists!$R:$R,MATCH(INDEX($C$269:$C$287,MATCH($C297,H$269:H$287,0)),InputLists!$Q:$Q,0)),"")</f>
        <v/>
      </c>
      <c r="I297" t="str">
        <f>IF(I$5,INDEX(InputLists!$R:$R,MATCH(INDEX($C$269:$C$287,MATCH($C297,I$269:I$287,0)),InputLists!$Q:$Q,0)),"")</f>
        <v/>
      </c>
      <c r="J297" t="str">
        <f>IF(J$5,INDEX(InputLists!$R:$R,MATCH(INDEX($C$269:$C$287,MATCH($C297,J$269:J$287,0)),InputLists!$Q:$Q,0)),"")</f>
        <v/>
      </c>
      <c r="K297" t="str">
        <f>IF(K$5,INDEX(InputLists!$R:$R,MATCH(INDEX($C$269:$C$287,MATCH($C297,K$269:K$287,0)),InputLists!$Q:$Q,0)),"")</f>
        <v/>
      </c>
      <c r="L297" t="str">
        <f>IF(L$5,INDEX(InputLists!$R:$R,MATCH(INDEX($C$269:$C$287,MATCH($C297,L$269:L$287,0)),InputLists!$Q:$Q,0)),"")</f>
        <v/>
      </c>
      <c r="M297" t="str">
        <f>IF(M$5,INDEX(InputLists!$R:$R,MATCH(INDEX($C$269:$C$287,MATCH($C297,M$269:M$287,0)),InputLists!$Q:$Q,0)),"")</f>
        <v/>
      </c>
      <c r="N297" t="str">
        <f>IF(N$5,INDEX(InputLists!$R:$R,MATCH(INDEX($C$269:$C$287,MATCH($C297,N$269:N$287,0)),InputLists!$Q:$Q,0)),"")</f>
        <v/>
      </c>
      <c r="O297" t="str">
        <f>IF(O$5,INDEX(InputLists!$R:$R,MATCH(INDEX($C$269:$C$287,MATCH($C297,O$269:O$287,0)),InputLists!$Q:$Q,0)),"")</f>
        <v/>
      </c>
      <c r="P297" t="str">
        <f>IF(P$5,INDEX(InputLists!$R:$R,MATCH(INDEX($C$269:$C$287,MATCH($C297,P$269:P$287,0)),InputLists!$Q:$Q,0)),"")</f>
        <v/>
      </c>
      <c r="Q297" t="str">
        <f>IF(Q$5,INDEX(InputLists!$R:$R,MATCH(INDEX($C$269:$C$287,MATCH($C297,Q$269:Q$287,0)),InputLists!$Q:$Q,0)),"")</f>
        <v/>
      </c>
      <c r="R297" t="str">
        <f>IF(R$5,INDEX(InputLists!$R:$R,MATCH(INDEX($C$269:$C$287,MATCH($C297,R$269:R$287,0)),InputLists!$Q:$Q,0)),"")</f>
        <v/>
      </c>
    </row>
    <row r="298" spans="1:18" ht="15">
      <c r="A298" t="s">
        <v>40</v>
      </c>
      <c r="B298" t="str">
        <f>"Number of medications for expression rank "&amp;C298</f>
        <v>Number of medications for expression rank 1</v>
      </c>
      <c r="C298">
        <v>1</v>
      </c>
      <c r="E298" t="s">
        <v>466</v>
      </c>
      <c r="F298" t="str">
        <f aca="true" t="shared" si="49" ref="F298:R298">IF(F$5,ROUND(IF(F$5,INDEX(F$247:F$265,MATCH($C298,F$269:F$287,0)),""),0),"")</f>
        <v/>
      </c>
      <c r="G298" t="str">
        <f t="shared" si="49"/>
        <v/>
      </c>
      <c r="H298" t="str">
        <f t="shared" si="49"/>
        <v/>
      </c>
      <c r="I298" t="str">
        <f t="shared" si="49"/>
        <v/>
      </c>
      <c r="J298" t="str">
        <f t="shared" si="49"/>
        <v/>
      </c>
      <c r="K298" t="str">
        <f t="shared" si="49"/>
        <v/>
      </c>
      <c r="L298" t="str">
        <f t="shared" si="49"/>
        <v/>
      </c>
      <c r="M298" t="str">
        <f t="shared" si="49"/>
        <v/>
      </c>
      <c r="N298" t="str">
        <f t="shared" si="49"/>
        <v/>
      </c>
      <c r="O298" t="str">
        <f t="shared" si="49"/>
        <v/>
      </c>
      <c r="P298" t="str">
        <f t="shared" si="49"/>
        <v/>
      </c>
      <c r="Q298" t="str">
        <f t="shared" si="49"/>
        <v/>
      </c>
      <c r="R298" t="str">
        <f t="shared" si="49"/>
        <v/>
      </c>
    </row>
    <row r="299" spans="1:18" ht="15">
      <c r="A299" t="s">
        <v>40</v>
      </c>
      <c r="B299" t="str">
        <f aca="true" t="shared" si="50" ref="B299:B307">"Number of medications for expression rank "&amp;C299</f>
        <v>Number of medications for expression rank 2</v>
      </c>
      <c r="C299">
        <f>1+C298</f>
        <v>2</v>
      </c>
      <c r="E299" t="s">
        <v>466</v>
      </c>
      <c r="F299" t="str">
        <f aca="true" t="shared" si="51" ref="F299:R307">IF(F$5,ROUND(IF(F$5,INDEX(F$247:F$265,MATCH($C299,F$269:F$287,0)),""),0),"")</f>
        <v/>
      </c>
      <c r="G299" t="str">
        <f t="shared" si="51"/>
        <v/>
      </c>
      <c r="H299" t="str">
        <f t="shared" si="51"/>
        <v/>
      </c>
      <c r="I299" t="str">
        <f t="shared" si="51"/>
        <v/>
      </c>
      <c r="J299" t="str">
        <f t="shared" si="51"/>
        <v/>
      </c>
      <c r="K299" t="str">
        <f t="shared" si="51"/>
        <v/>
      </c>
      <c r="L299" t="str">
        <f t="shared" si="51"/>
        <v/>
      </c>
      <c r="M299" t="str">
        <f t="shared" si="51"/>
        <v/>
      </c>
      <c r="N299" t="str">
        <f t="shared" si="51"/>
        <v/>
      </c>
      <c r="O299" t="str">
        <f t="shared" si="51"/>
        <v/>
      </c>
      <c r="P299" t="str">
        <f t="shared" si="51"/>
        <v/>
      </c>
      <c r="Q299" t="str">
        <f t="shared" si="51"/>
        <v/>
      </c>
      <c r="R299" t="str">
        <f t="shared" si="51"/>
        <v/>
      </c>
    </row>
    <row r="300" spans="1:18" ht="15">
      <c r="A300" t="s">
        <v>40</v>
      </c>
      <c r="B300" t="str">
        <f t="shared" si="50"/>
        <v>Number of medications for expression rank 3</v>
      </c>
      <c r="C300">
        <f aca="true" t="shared" si="52" ref="C300:C307">1+C299</f>
        <v>3</v>
      </c>
      <c r="E300" t="s">
        <v>466</v>
      </c>
      <c r="F300" t="str">
        <f t="shared" si="51"/>
        <v/>
      </c>
      <c r="G300" t="str">
        <f t="shared" si="51"/>
        <v/>
      </c>
      <c r="H300" t="str">
        <f t="shared" si="51"/>
        <v/>
      </c>
      <c r="I300" t="str">
        <f t="shared" si="51"/>
        <v/>
      </c>
      <c r="J300" t="str">
        <f t="shared" si="51"/>
        <v/>
      </c>
      <c r="K300" t="str">
        <f t="shared" si="51"/>
        <v/>
      </c>
      <c r="L300" t="str">
        <f t="shared" si="51"/>
        <v/>
      </c>
      <c r="M300" t="str">
        <f t="shared" si="51"/>
        <v/>
      </c>
      <c r="N300" t="str">
        <f t="shared" si="51"/>
        <v/>
      </c>
      <c r="O300" t="str">
        <f t="shared" si="51"/>
        <v/>
      </c>
      <c r="P300" t="str">
        <f t="shared" si="51"/>
        <v/>
      </c>
      <c r="Q300" t="str">
        <f t="shared" si="51"/>
        <v/>
      </c>
      <c r="R300" t="str">
        <f t="shared" si="51"/>
        <v/>
      </c>
    </row>
    <row r="301" spans="1:18" ht="15">
      <c r="A301" t="s">
        <v>40</v>
      </c>
      <c r="B301" t="str">
        <f t="shared" si="50"/>
        <v>Number of medications for expression rank 4</v>
      </c>
      <c r="C301">
        <f t="shared" si="52"/>
        <v>4</v>
      </c>
      <c r="E301" t="s">
        <v>466</v>
      </c>
      <c r="F301" t="str">
        <f t="shared" si="51"/>
        <v/>
      </c>
      <c r="G301" t="str">
        <f t="shared" si="51"/>
        <v/>
      </c>
      <c r="H301" t="str">
        <f t="shared" si="51"/>
        <v/>
      </c>
      <c r="I301" t="str">
        <f t="shared" si="51"/>
        <v/>
      </c>
      <c r="J301" t="str">
        <f t="shared" si="51"/>
        <v/>
      </c>
      <c r="K301" t="str">
        <f t="shared" si="51"/>
        <v/>
      </c>
      <c r="L301" t="str">
        <f t="shared" si="51"/>
        <v/>
      </c>
      <c r="M301" t="str">
        <f t="shared" si="51"/>
        <v/>
      </c>
      <c r="N301" t="str">
        <f t="shared" si="51"/>
        <v/>
      </c>
      <c r="O301" t="str">
        <f t="shared" si="51"/>
        <v/>
      </c>
      <c r="P301" t="str">
        <f t="shared" si="51"/>
        <v/>
      </c>
      <c r="Q301" t="str">
        <f t="shared" si="51"/>
        <v/>
      </c>
      <c r="R301" t="str">
        <f t="shared" si="51"/>
        <v/>
      </c>
    </row>
    <row r="302" spans="1:18" ht="15">
      <c r="A302" t="s">
        <v>40</v>
      </c>
      <c r="B302" t="str">
        <f t="shared" si="50"/>
        <v>Number of medications for expression rank 5</v>
      </c>
      <c r="C302">
        <f t="shared" si="52"/>
        <v>5</v>
      </c>
      <c r="E302" t="s">
        <v>466</v>
      </c>
      <c r="F302" t="str">
        <f t="shared" si="51"/>
        <v/>
      </c>
      <c r="G302" t="str">
        <f t="shared" si="51"/>
        <v/>
      </c>
      <c r="H302" t="str">
        <f t="shared" si="51"/>
        <v/>
      </c>
      <c r="I302" t="str">
        <f t="shared" si="51"/>
        <v/>
      </c>
      <c r="J302" t="str">
        <f t="shared" si="51"/>
        <v/>
      </c>
      <c r="K302" t="str">
        <f t="shared" si="51"/>
        <v/>
      </c>
      <c r="L302" t="str">
        <f t="shared" si="51"/>
        <v/>
      </c>
      <c r="M302" t="str">
        <f t="shared" si="51"/>
        <v/>
      </c>
      <c r="N302" t="str">
        <f t="shared" si="51"/>
        <v/>
      </c>
      <c r="O302" t="str">
        <f t="shared" si="51"/>
        <v/>
      </c>
      <c r="P302" t="str">
        <f t="shared" si="51"/>
        <v/>
      </c>
      <c r="Q302" t="str">
        <f t="shared" si="51"/>
        <v/>
      </c>
      <c r="R302" t="str">
        <f t="shared" si="51"/>
        <v/>
      </c>
    </row>
    <row r="303" spans="1:18" ht="15">
      <c r="A303" t="s">
        <v>40</v>
      </c>
      <c r="B303" t="str">
        <f t="shared" si="50"/>
        <v>Number of medications for expression rank 6</v>
      </c>
      <c r="C303">
        <f t="shared" si="52"/>
        <v>6</v>
      </c>
      <c r="E303" t="s">
        <v>466</v>
      </c>
      <c r="F303" t="str">
        <f t="shared" si="51"/>
        <v/>
      </c>
      <c r="G303" t="str">
        <f t="shared" si="51"/>
        <v/>
      </c>
      <c r="H303" t="str">
        <f t="shared" si="51"/>
        <v/>
      </c>
      <c r="I303" t="str">
        <f t="shared" si="51"/>
        <v/>
      </c>
      <c r="J303" t="str">
        <f t="shared" si="51"/>
        <v/>
      </c>
      <c r="K303" t="str">
        <f t="shared" si="51"/>
        <v/>
      </c>
      <c r="L303" t="str">
        <f t="shared" si="51"/>
        <v/>
      </c>
      <c r="M303" t="str">
        <f t="shared" si="51"/>
        <v/>
      </c>
      <c r="N303" t="str">
        <f t="shared" si="51"/>
        <v/>
      </c>
      <c r="O303" t="str">
        <f t="shared" si="51"/>
        <v/>
      </c>
      <c r="P303" t="str">
        <f t="shared" si="51"/>
        <v/>
      </c>
      <c r="Q303" t="str">
        <f t="shared" si="51"/>
        <v/>
      </c>
      <c r="R303" t="str">
        <f t="shared" si="51"/>
        <v/>
      </c>
    </row>
    <row r="304" spans="1:18" ht="15">
      <c r="A304" t="s">
        <v>40</v>
      </c>
      <c r="B304" t="str">
        <f t="shared" si="50"/>
        <v>Number of medications for expression rank 7</v>
      </c>
      <c r="C304">
        <f t="shared" si="52"/>
        <v>7</v>
      </c>
      <c r="E304" t="s">
        <v>466</v>
      </c>
      <c r="F304" t="str">
        <f t="shared" si="51"/>
        <v/>
      </c>
      <c r="G304" t="str">
        <f t="shared" si="51"/>
        <v/>
      </c>
      <c r="H304" t="str">
        <f t="shared" si="51"/>
        <v/>
      </c>
      <c r="I304" t="str">
        <f t="shared" si="51"/>
        <v/>
      </c>
      <c r="J304" t="str">
        <f t="shared" si="51"/>
        <v/>
      </c>
      <c r="K304" t="str">
        <f t="shared" si="51"/>
        <v/>
      </c>
      <c r="L304" t="str">
        <f t="shared" si="51"/>
        <v/>
      </c>
      <c r="M304" t="str">
        <f t="shared" si="51"/>
        <v/>
      </c>
      <c r="N304" t="str">
        <f t="shared" si="51"/>
        <v/>
      </c>
      <c r="O304" t="str">
        <f t="shared" si="51"/>
        <v/>
      </c>
      <c r="P304" t="str">
        <f t="shared" si="51"/>
        <v/>
      </c>
      <c r="Q304" t="str">
        <f t="shared" si="51"/>
        <v/>
      </c>
      <c r="R304" t="str">
        <f t="shared" si="51"/>
        <v/>
      </c>
    </row>
    <row r="305" spans="1:18" ht="15">
      <c r="A305" t="s">
        <v>40</v>
      </c>
      <c r="B305" t="str">
        <f t="shared" si="50"/>
        <v>Number of medications for expression rank 8</v>
      </c>
      <c r="C305">
        <f t="shared" si="52"/>
        <v>8</v>
      </c>
      <c r="E305" t="s">
        <v>466</v>
      </c>
      <c r="F305" t="str">
        <f t="shared" si="51"/>
        <v/>
      </c>
      <c r="G305" t="str">
        <f t="shared" si="51"/>
        <v/>
      </c>
      <c r="H305" t="str">
        <f t="shared" si="51"/>
        <v/>
      </c>
      <c r="I305" t="str">
        <f t="shared" si="51"/>
        <v/>
      </c>
      <c r="J305" t="str">
        <f t="shared" si="51"/>
        <v/>
      </c>
      <c r="K305" t="str">
        <f t="shared" si="51"/>
        <v/>
      </c>
      <c r="L305" t="str">
        <f t="shared" si="51"/>
        <v/>
      </c>
      <c r="M305" t="str">
        <f t="shared" si="51"/>
        <v/>
      </c>
      <c r="N305" t="str">
        <f t="shared" si="51"/>
        <v/>
      </c>
      <c r="O305" t="str">
        <f t="shared" si="51"/>
        <v/>
      </c>
      <c r="P305" t="str">
        <f t="shared" si="51"/>
        <v/>
      </c>
      <c r="Q305" t="str">
        <f t="shared" si="51"/>
        <v/>
      </c>
      <c r="R305" t="str">
        <f t="shared" si="51"/>
        <v/>
      </c>
    </row>
    <row r="306" spans="1:18" ht="15">
      <c r="A306" t="s">
        <v>40</v>
      </c>
      <c r="B306" t="str">
        <f t="shared" si="50"/>
        <v>Number of medications for expression rank 9</v>
      </c>
      <c r="C306">
        <f t="shared" si="52"/>
        <v>9</v>
      </c>
      <c r="E306" t="s">
        <v>466</v>
      </c>
      <c r="F306" t="str">
        <f t="shared" si="51"/>
        <v/>
      </c>
      <c r="G306" t="str">
        <f t="shared" si="51"/>
        <v/>
      </c>
      <c r="H306" t="str">
        <f t="shared" si="51"/>
        <v/>
      </c>
      <c r="I306" t="str">
        <f t="shared" si="51"/>
        <v/>
      </c>
      <c r="J306" t="str">
        <f t="shared" si="51"/>
        <v/>
      </c>
      <c r="K306" t="str">
        <f t="shared" si="51"/>
        <v/>
      </c>
      <c r="L306" t="str">
        <f t="shared" si="51"/>
        <v/>
      </c>
      <c r="M306" t="str">
        <f t="shared" si="51"/>
        <v/>
      </c>
      <c r="N306" t="str">
        <f t="shared" si="51"/>
        <v/>
      </c>
      <c r="O306" t="str">
        <f t="shared" si="51"/>
        <v/>
      </c>
      <c r="P306" t="str">
        <f t="shared" si="51"/>
        <v/>
      </c>
      <c r="Q306" t="str">
        <f t="shared" si="51"/>
        <v/>
      </c>
      <c r="R306" t="str">
        <f t="shared" si="51"/>
        <v/>
      </c>
    </row>
    <row r="307" spans="1:18" ht="15">
      <c r="A307" t="s">
        <v>40</v>
      </c>
      <c r="B307" t="str">
        <f t="shared" si="50"/>
        <v>Number of medications for expression rank 10</v>
      </c>
      <c r="C307">
        <f t="shared" si="52"/>
        <v>10</v>
      </c>
      <c r="E307" t="s">
        <v>466</v>
      </c>
      <c r="F307" t="str">
        <f t="shared" si="51"/>
        <v/>
      </c>
      <c r="G307" t="str">
        <f t="shared" si="51"/>
        <v/>
      </c>
      <c r="H307" t="str">
        <f t="shared" si="51"/>
        <v/>
      </c>
      <c r="I307" t="str">
        <f t="shared" si="51"/>
        <v/>
      </c>
      <c r="J307" t="str">
        <f t="shared" si="51"/>
        <v/>
      </c>
      <c r="K307" t="str">
        <f t="shared" si="51"/>
        <v/>
      </c>
      <c r="L307" t="str">
        <f t="shared" si="51"/>
        <v/>
      </c>
      <c r="M307" t="str">
        <f t="shared" si="51"/>
        <v/>
      </c>
      <c r="N307" t="str">
        <f t="shared" si="51"/>
        <v/>
      </c>
      <c r="O307" t="str">
        <f t="shared" si="51"/>
        <v/>
      </c>
      <c r="P307" t="str">
        <f t="shared" si="51"/>
        <v/>
      </c>
      <c r="Q307" t="str">
        <f t="shared" si="51"/>
        <v/>
      </c>
      <c r="R307" t="str">
        <f t="shared" si="51"/>
        <v/>
      </c>
    </row>
    <row r="308" spans="1:18" ht="15">
      <c r="A308" t="s">
        <v>40</v>
      </c>
      <c r="B308" t="s">
        <v>816</v>
      </c>
      <c r="E308" t="s">
        <v>466</v>
      </c>
      <c r="F308" t="str">
        <f aca="true" t="shared" si="53" ref="F308:Q308">IF(F$5,ROUND(SUM(F247:F268)-SUM(F298:F307),0),"")</f>
        <v/>
      </c>
      <c r="G308" t="str">
        <f t="shared" si="53"/>
        <v/>
      </c>
      <c r="H308" t="str">
        <f t="shared" si="53"/>
        <v/>
      </c>
      <c r="I308" t="str">
        <f t="shared" si="53"/>
        <v/>
      </c>
      <c r="J308" t="str">
        <f t="shared" si="53"/>
        <v/>
      </c>
      <c r="K308" t="str">
        <f t="shared" si="53"/>
        <v/>
      </c>
      <c r="L308" t="str">
        <f t="shared" si="53"/>
        <v/>
      </c>
      <c r="M308" t="str">
        <f t="shared" si="53"/>
        <v/>
      </c>
      <c r="N308" t="str">
        <f t="shared" si="53"/>
        <v/>
      </c>
      <c r="O308" t="str">
        <f t="shared" si="53"/>
        <v/>
      </c>
      <c r="P308" t="str">
        <f t="shared" si="53"/>
        <v/>
      </c>
      <c r="Q308" t="str">
        <f t="shared" si="53"/>
        <v/>
      </c>
      <c r="R308" t="str">
        <f>IF(R$5,ROUND(SUM(R247:R268)-SUM(R298:R307),0),"")</f>
        <v/>
      </c>
    </row>
    <row r="309" spans="1:18" ht="15">
      <c r="A309" t="s">
        <v>40</v>
      </c>
      <c r="B309" t="s">
        <v>814</v>
      </c>
      <c r="E309" t="s">
        <v>466</v>
      </c>
      <c r="F309" t="str">
        <f>IF(F$5,COUNTIFS(Medications!$AN:$AN,ReportAndOutcomeHistory!$A309,Medications!$AP:$AP,1,Medications!$AS:$AS,1,Medications!$AT:$AT,1),"")</f>
        <v/>
      </c>
      <c r="G309" t="str">
        <f>IF(G$5,COUNTIFS(Medications!$AN:$AN,ReportAndOutcomeHistory!$A309,Medications!$AP:$AP,1,Medications!$AS:$AS,1,Medications!$AT:$AT,1),"")</f>
        <v/>
      </c>
      <c r="H309" t="str">
        <f>IF(H$5,COUNTIFS(Medications!$AN:$AN,ReportAndOutcomeHistory!$A309,Medications!$AP:$AP,1,Medications!$AS:$AS,1,Medications!$AT:$AT,1),"")</f>
        <v/>
      </c>
      <c r="I309" t="str">
        <f>IF(I$5,COUNTIFS(Medications!$AN:$AN,ReportAndOutcomeHistory!$A309,Medications!$AP:$AP,1,Medications!$AS:$AS,1,Medications!$AT:$AT,1),"")</f>
        <v/>
      </c>
      <c r="J309" t="str">
        <f>IF(J$5,COUNTIFS(Medications!$AN:$AN,ReportAndOutcomeHistory!$A309,Medications!$AP:$AP,1,Medications!$AS:$AS,1,Medications!$AT:$AT,1),"")</f>
        <v/>
      </c>
      <c r="K309" t="str">
        <f>IF(K$5,COUNTIFS(Medications!$AN:$AN,ReportAndOutcomeHistory!$A309,Medications!$AP:$AP,1,Medications!$AS:$AS,1,Medications!$AT:$AT,1),"")</f>
        <v/>
      </c>
      <c r="L309" t="str">
        <f>IF(L$5,COUNTIFS(Medications!$AN:$AN,ReportAndOutcomeHistory!$A309,Medications!$AP:$AP,1,Medications!$AS:$AS,1,Medications!$AT:$AT,1),"")</f>
        <v/>
      </c>
      <c r="M309" t="str">
        <f>IF(M$5,COUNTIFS(Medications!$AN:$AN,ReportAndOutcomeHistory!$A309,Medications!$AP:$AP,1,Medications!$AS:$AS,1,Medications!$AT:$AT,1),"")</f>
        <v/>
      </c>
      <c r="N309" t="str">
        <f>IF(N$5,COUNTIFS(Medications!$AN:$AN,ReportAndOutcomeHistory!$A309,Medications!$AP:$AP,1,Medications!$AS:$AS,1,Medications!$AT:$AT,1),"")</f>
        <v/>
      </c>
      <c r="O309" t="str">
        <f>IF(O$5,COUNTIFS(Medications!$AN:$AN,ReportAndOutcomeHistory!$A309,Medications!$AP:$AP,1,Medications!$AS:$AS,1,Medications!$AT:$AT,1),"")</f>
        <v/>
      </c>
      <c r="P309" t="str">
        <f>IF(P$5,COUNTIFS(Medications!$AN:$AN,ReportAndOutcomeHistory!$A309,Medications!$AP:$AP,1,Medications!$AS:$AS,1,Medications!$AT:$AT,1),"")</f>
        <v/>
      </c>
      <c r="Q309" t="str">
        <f>IF(Q$5,COUNTIFS(Medications!$AN:$AN,ReportAndOutcomeHistory!$A309,Medications!$AP:$AP,1,Medications!$AS:$AS,1,Medications!$AT:$AT,1),"")</f>
        <v/>
      </c>
      <c r="R309" t="str">
        <f>IF(R$5,COUNTIFS(Medications!$AN:$AN,ReportAndOutcomeHistory!$A309,Medications!$AP:$AP,1,Medications!$AS:$AS,1,Medications!$AT:$AT,1),"")</f>
        <v/>
      </c>
    </row>
    <row r="310" spans="1:18" ht="15">
      <c r="A310" t="s">
        <v>40</v>
      </c>
      <c r="B310" t="str">
        <f>"Number of psychotropic medication orders tracked this month: Informed risk: """&amp;C310&amp;""""</f>
        <v>Number of psychotropic medication orders tracked this month: Informed risk: "1"</v>
      </c>
      <c r="C310">
        <v>1</v>
      </c>
      <c r="E310" t="s">
        <v>466</v>
      </c>
      <c r="F310" t="str">
        <f>IF(F$5,COUNTIFS(Medications!$AN:$AN,ReportAndOutcomeHistory!$A310,Medications!$AP:$AP,1,Medications!$J:$J,$C310),"")</f>
        <v/>
      </c>
      <c r="G310" t="str">
        <f>IF(G$5,COUNTIFS(Medications!$AN:$AN,ReportAndOutcomeHistory!$A310,Medications!$AP:$AP,1,Medications!$J:$J,$C310),"")</f>
        <v/>
      </c>
      <c r="H310" t="str">
        <f>IF(H$5,COUNTIFS(Medications!$AN:$AN,ReportAndOutcomeHistory!$A310,Medications!$AP:$AP,1,Medications!$J:$J,$C310),"")</f>
        <v/>
      </c>
      <c r="I310" t="str">
        <f>IF(I$5,COUNTIFS(Medications!$AN:$AN,ReportAndOutcomeHistory!$A310,Medications!$AP:$AP,1,Medications!$J:$J,$C310),"")</f>
        <v/>
      </c>
      <c r="J310" t="str">
        <f>IF(J$5,COUNTIFS(Medications!$AN:$AN,ReportAndOutcomeHistory!$A310,Medications!$AP:$AP,1,Medications!$J:$J,$C310),"")</f>
        <v/>
      </c>
      <c r="K310" t="str">
        <f>IF(K$5,COUNTIFS(Medications!$AN:$AN,ReportAndOutcomeHistory!$A310,Medications!$AP:$AP,1,Medications!$J:$J,$C310),"")</f>
        <v/>
      </c>
      <c r="L310" t="str">
        <f>IF(L$5,COUNTIFS(Medications!$AN:$AN,ReportAndOutcomeHistory!$A310,Medications!$AP:$AP,1,Medications!$J:$J,$C310),"")</f>
        <v/>
      </c>
      <c r="M310" t="str">
        <f>IF(M$5,COUNTIFS(Medications!$AN:$AN,ReportAndOutcomeHistory!$A310,Medications!$AP:$AP,1,Medications!$J:$J,$C310),"")</f>
        <v/>
      </c>
      <c r="N310" t="str">
        <f>IF(N$5,COUNTIFS(Medications!$AN:$AN,ReportAndOutcomeHistory!$A310,Medications!$AP:$AP,1,Medications!$J:$J,$C310),"")</f>
        <v/>
      </c>
      <c r="O310" t="str">
        <f>IF(O$5,COUNTIFS(Medications!$AN:$AN,ReportAndOutcomeHistory!$A310,Medications!$AP:$AP,1,Medications!$J:$J,$C310),"")</f>
        <v/>
      </c>
      <c r="P310" t="str">
        <f>IF(P$5,COUNTIFS(Medications!$AN:$AN,ReportAndOutcomeHistory!$A310,Medications!$AP:$AP,1,Medications!$J:$J,$C310),"")</f>
        <v/>
      </c>
      <c r="Q310" t="str">
        <f>IF(Q$5,COUNTIFS(Medications!$AN:$AN,ReportAndOutcomeHistory!$A310,Medications!$AP:$AP,1,Medications!$J:$J,$C310),"")</f>
        <v/>
      </c>
      <c r="R310" t="str">
        <f>IF(R$5,COUNTIFS(Medications!$AN:$AN,ReportAndOutcomeHistory!$A310,Medications!$AP:$AP,1,Medications!$J:$J,$C310),"")</f>
        <v/>
      </c>
    </row>
    <row r="311" spans="1:18" ht="15">
      <c r="A311" t="s">
        <v>40</v>
      </c>
      <c r="B311" t="str">
        <f>"Number of psychotropic medication orders tracked this month: Informed risk: """&amp;C311&amp;""""</f>
        <v>Number of psychotropic medication orders tracked this month: Informed risk: "0"</v>
      </c>
      <c r="C311">
        <v>0</v>
      </c>
      <c r="E311" t="s">
        <v>466</v>
      </c>
      <c r="F311" t="str">
        <f>IF(F$5,COUNTIFS(Medications!$AN:$AN,ReportAndOutcomeHistory!$A311,Medications!$AP:$AP,1,Medications!$J:$J,$C311),"")</f>
        <v/>
      </c>
      <c r="G311" t="str">
        <f>IF(G$5,COUNTIFS(Medications!$AN:$AN,ReportAndOutcomeHistory!$A311,Medications!$AP:$AP,1,Medications!$J:$J,$C311),"")</f>
        <v/>
      </c>
      <c r="H311" t="str">
        <f>IF(H$5,COUNTIFS(Medications!$AN:$AN,ReportAndOutcomeHistory!$A311,Medications!$AP:$AP,1,Medications!$J:$J,$C311),"")</f>
        <v/>
      </c>
      <c r="I311" t="str">
        <f>IF(I$5,COUNTIFS(Medications!$AN:$AN,ReportAndOutcomeHistory!$A311,Medications!$AP:$AP,1,Medications!$J:$J,$C311),"")</f>
        <v/>
      </c>
      <c r="J311" t="str">
        <f>IF(J$5,COUNTIFS(Medications!$AN:$AN,ReportAndOutcomeHistory!$A311,Medications!$AP:$AP,1,Medications!$J:$J,$C311),"")</f>
        <v/>
      </c>
      <c r="K311" t="str">
        <f>IF(K$5,COUNTIFS(Medications!$AN:$AN,ReportAndOutcomeHistory!$A311,Medications!$AP:$AP,1,Medications!$J:$J,$C311),"")</f>
        <v/>
      </c>
      <c r="L311" t="str">
        <f>IF(L$5,COUNTIFS(Medications!$AN:$AN,ReportAndOutcomeHistory!$A311,Medications!$AP:$AP,1,Medications!$J:$J,$C311),"")</f>
        <v/>
      </c>
      <c r="M311" t="str">
        <f>IF(M$5,COUNTIFS(Medications!$AN:$AN,ReportAndOutcomeHistory!$A311,Medications!$AP:$AP,1,Medications!$J:$J,$C311),"")</f>
        <v/>
      </c>
      <c r="N311" t="str">
        <f>IF(N$5,COUNTIFS(Medications!$AN:$AN,ReportAndOutcomeHistory!$A311,Medications!$AP:$AP,1,Medications!$J:$J,$C311),"")</f>
        <v/>
      </c>
      <c r="O311" t="str">
        <f>IF(O$5,COUNTIFS(Medications!$AN:$AN,ReportAndOutcomeHistory!$A311,Medications!$AP:$AP,1,Medications!$J:$J,$C311),"")</f>
        <v/>
      </c>
      <c r="P311" t="str">
        <f>IF(P$5,COUNTIFS(Medications!$AN:$AN,ReportAndOutcomeHistory!$A311,Medications!$AP:$AP,1,Medications!$J:$J,$C311),"")</f>
        <v/>
      </c>
      <c r="Q311" t="str">
        <f>IF(Q$5,COUNTIFS(Medications!$AN:$AN,ReportAndOutcomeHistory!$A311,Medications!$AP:$AP,1,Medications!$J:$J,$C311),"")</f>
        <v/>
      </c>
      <c r="R311" t="str">
        <f>IF(R$5,COUNTIFS(Medications!$AN:$AN,ReportAndOutcomeHistory!$A311,Medications!$AP:$AP,1,Medications!$J:$J,$C311),"")</f>
        <v/>
      </c>
    </row>
    <row r="312" spans="1:18" ht="15">
      <c r="A312" t="s">
        <v>40</v>
      </c>
      <c r="B312" t="str">
        <f>"Number of psychotropic medication orders tracked this month: Informed risk: """&amp;C312&amp;""""</f>
        <v>Number of psychotropic medication orders tracked this month: Informed risk: ""</v>
      </c>
      <c r="C312" t="str">
        <f>""</f>
        <v/>
      </c>
      <c r="E312" t="s">
        <v>466</v>
      </c>
      <c r="F312" t="str">
        <f>IF(F$5,COUNTIFS(Medications!$AN:$AN,ReportAndOutcomeHistory!$A312,Medications!$AP:$AP,1,Medications!$J:$J,$C312),"")</f>
        <v/>
      </c>
      <c r="G312" t="str">
        <f>IF(G$5,COUNTIFS(Medications!$AN:$AN,ReportAndOutcomeHistory!$A312,Medications!$AP:$AP,1,Medications!$J:$J,$C312),"")</f>
        <v/>
      </c>
      <c r="H312" t="str">
        <f>IF(H$5,COUNTIFS(Medications!$AN:$AN,ReportAndOutcomeHistory!$A312,Medications!$AP:$AP,1,Medications!$J:$J,$C312),"")</f>
        <v/>
      </c>
      <c r="I312" t="str">
        <f>IF(I$5,COUNTIFS(Medications!$AN:$AN,ReportAndOutcomeHistory!$A312,Medications!$AP:$AP,1,Medications!$J:$J,$C312),"")</f>
        <v/>
      </c>
      <c r="J312" t="str">
        <f>IF(J$5,COUNTIFS(Medications!$AN:$AN,ReportAndOutcomeHistory!$A312,Medications!$AP:$AP,1,Medications!$J:$J,$C312),"")</f>
        <v/>
      </c>
      <c r="K312" t="str">
        <f>IF(K$5,COUNTIFS(Medications!$AN:$AN,ReportAndOutcomeHistory!$A312,Medications!$AP:$AP,1,Medications!$J:$J,$C312),"")</f>
        <v/>
      </c>
      <c r="L312" t="str">
        <f>IF(L$5,COUNTIFS(Medications!$AN:$AN,ReportAndOutcomeHistory!$A312,Medications!$AP:$AP,1,Medications!$J:$J,$C312),"")</f>
        <v/>
      </c>
      <c r="M312" t="str">
        <f>IF(M$5,COUNTIFS(Medications!$AN:$AN,ReportAndOutcomeHistory!$A312,Medications!$AP:$AP,1,Medications!$J:$J,$C312),"")</f>
        <v/>
      </c>
      <c r="N312" t="str">
        <f>IF(N$5,COUNTIFS(Medications!$AN:$AN,ReportAndOutcomeHistory!$A312,Medications!$AP:$AP,1,Medications!$J:$J,$C312),"")</f>
        <v/>
      </c>
      <c r="O312" t="str">
        <f>IF(O$5,COUNTIFS(Medications!$AN:$AN,ReportAndOutcomeHistory!$A312,Medications!$AP:$AP,1,Medications!$J:$J,$C312),"")</f>
        <v/>
      </c>
      <c r="P312" t="str">
        <f>IF(P$5,COUNTIFS(Medications!$AN:$AN,ReportAndOutcomeHistory!$A312,Medications!$AP:$AP,1,Medications!$J:$J,$C312),"")</f>
        <v/>
      </c>
      <c r="Q312" t="str">
        <f>IF(Q$5,COUNTIFS(Medications!$AN:$AN,ReportAndOutcomeHistory!$A312,Medications!$AP:$AP,1,Medications!$J:$J,$C312),"")</f>
        <v/>
      </c>
      <c r="R312" t="str">
        <f>IF(R$5,COUNTIFS(Medications!$AN:$AN,ReportAndOutcomeHistory!$A312,Medications!$AP:$AP,1,Medications!$J:$J,$C312),"")</f>
        <v/>
      </c>
    </row>
    <row r="313" spans="1:18" ht="15">
      <c r="A313" t="s">
        <v>40</v>
      </c>
      <c r="B313" t="str">
        <f>"Number of psychotropic medication orders tracked this month: Informed treatment: """&amp;C313&amp;""""</f>
        <v>Number of psychotropic medication orders tracked this month: Informed treatment: "1"</v>
      </c>
      <c r="C313">
        <v>1</v>
      </c>
      <c r="E313" t="s">
        <v>466</v>
      </c>
      <c r="F313" t="str">
        <f>IF(F$5,COUNTIFS(Medications!$AN:$AN,ReportAndOutcomeHistory!$A313,Medications!$AP:$AP,1,Medications!$K:$K,$C313),"")</f>
        <v/>
      </c>
      <c r="G313" t="str">
        <f>IF(G$5,COUNTIFS(Medications!$AN:$AN,ReportAndOutcomeHistory!$A313,Medications!$AP:$AP,1,Medications!$K:$K,$C313),"")</f>
        <v/>
      </c>
      <c r="H313" t="str">
        <f>IF(H$5,COUNTIFS(Medications!$AN:$AN,ReportAndOutcomeHistory!$A313,Medications!$AP:$AP,1,Medications!$K:$K,$C313),"")</f>
        <v/>
      </c>
      <c r="I313" t="str">
        <f>IF(I$5,COUNTIFS(Medications!$AN:$AN,ReportAndOutcomeHistory!$A313,Medications!$AP:$AP,1,Medications!$K:$K,$C313),"")</f>
        <v/>
      </c>
      <c r="J313" t="str">
        <f>IF(J$5,COUNTIFS(Medications!$AN:$AN,ReportAndOutcomeHistory!$A313,Medications!$AP:$AP,1,Medications!$K:$K,$C313),"")</f>
        <v/>
      </c>
      <c r="K313" t="str">
        <f>IF(K$5,COUNTIFS(Medications!$AN:$AN,ReportAndOutcomeHistory!$A313,Medications!$AP:$AP,1,Medications!$K:$K,$C313),"")</f>
        <v/>
      </c>
      <c r="L313" t="str">
        <f>IF(L$5,COUNTIFS(Medications!$AN:$AN,ReportAndOutcomeHistory!$A313,Medications!$AP:$AP,1,Medications!$K:$K,$C313),"")</f>
        <v/>
      </c>
      <c r="M313" t="str">
        <f>IF(M$5,COUNTIFS(Medications!$AN:$AN,ReportAndOutcomeHistory!$A313,Medications!$AP:$AP,1,Medications!$K:$K,$C313),"")</f>
        <v/>
      </c>
      <c r="N313" t="str">
        <f>IF(N$5,COUNTIFS(Medications!$AN:$AN,ReportAndOutcomeHistory!$A313,Medications!$AP:$AP,1,Medications!$K:$K,$C313),"")</f>
        <v/>
      </c>
      <c r="O313" t="str">
        <f>IF(O$5,COUNTIFS(Medications!$AN:$AN,ReportAndOutcomeHistory!$A313,Medications!$AP:$AP,1,Medications!$K:$K,$C313),"")</f>
        <v/>
      </c>
      <c r="P313" t="str">
        <f>IF(P$5,COUNTIFS(Medications!$AN:$AN,ReportAndOutcomeHistory!$A313,Medications!$AP:$AP,1,Medications!$K:$K,$C313),"")</f>
        <v/>
      </c>
      <c r="Q313" t="str">
        <f>IF(Q$5,COUNTIFS(Medications!$AN:$AN,ReportAndOutcomeHistory!$A313,Medications!$AP:$AP,1,Medications!$K:$K,$C313),"")</f>
        <v/>
      </c>
      <c r="R313" t="str">
        <f>IF(R$5,COUNTIFS(Medications!$AN:$AN,ReportAndOutcomeHistory!$A313,Medications!$AP:$AP,1,Medications!$K:$K,$C313),"")</f>
        <v/>
      </c>
    </row>
    <row r="314" spans="1:18" ht="15">
      <c r="A314" t="s">
        <v>40</v>
      </c>
      <c r="B314" t="str">
        <f>"Number of psychotropic medication orders tracked this month: Informed treatment: """&amp;C314&amp;""""</f>
        <v>Number of psychotropic medication orders tracked this month: Informed treatment: "0"</v>
      </c>
      <c r="C314">
        <v>0</v>
      </c>
      <c r="E314" t="s">
        <v>466</v>
      </c>
      <c r="F314" t="str">
        <f>IF(F$5,COUNTIFS(Medications!$AN:$AN,ReportAndOutcomeHistory!$A314,Medications!$AP:$AP,1,Medications!$K:$K,$C314),"")</f>
        <v/>
      </c>
      <c r="G314" t="str">
        <f>IF(G$5,COUNTIFS(Medications!$AN:$AN,ReportAndOutcomeHistory!$A314,Medications!$AP:$AP,1,Medications!$K:$K,$C314),"")</f>
        <v/>
      </c>
      <c r="H314" t="str">
        <f>IF(H$5,COUNTIFS(Medications!$AN:$AN,ReportAndOutcomeHistory!$A314,Medications!$AP:$AP,1,Medications!$K:$K,$C314),"")</f>
        <v/>
      </c>
      <c r="I314" t="str">
        <f>IF(I$5,COUNTIFS(Medications!$AN:$AN,ReportAndOutcomeHistory!$A314,Medications!$AP:$AP,1,Medications!$K:$K,$C314),"")</f>
        <v/>
      </c>
      <c r="J314" t="str">
        <f>IF(J$5,COUNTIFS(Medications!$AN:$AN,ReportAndOutcomeHistory!$A314,Medications!$AP:$AP,1,Medications!$K:$K,$C314),"")</f>
        <v/>
      </c>
      <c r="K314" t="str">
        <f>IF(K$5,COUNTIFS(Medications!$AN:$AN,ReportAndOutcomeHistory!$A314,Medications!$AP:$AP,1,Medications!$K:$K,$C314),"")</f>
        <v/>
      </c>
      <c r="L314" t="str">
        <f>IF(L$5,COUNTIFS(Medications!$AN:$AN,ReportAndOutcomeHistory!$A314,Medications!$AP:$AP,1,Medications!$K:$K,$C314),"")</f>
        <v/>
      </c>
      <c r="M314" t="str">
        <f>IF(M$5,COUNTIFS(Medications!$AN:$AN,ReportAndOutcomeHistory!$A314,Medications!$AP:$AP,1,Medications!$K:$K,$C314),"")</f>
        <v/>
      </c>
      <c r="N314" t="str">
        <f>IF(N$5,COUNTIFS(Medications!$AN:$AN,ReportAndOutcomeHistory!$A314,Medications!$AP:$AP,1,Medications!$K:$K,$C314),"")</f>
        <v/>
      </c>
      <c r="O314" t="str">
        <f>IF(O$5,COUNTIFS(Medications!$AN:$AN,ReportAndOutcomeHistory!$A314,Medications!$AP:$AP,1,Medications!$K:$K,$C314),"")</f>
        <v/>
      </c>
      <c r="P314" t="str">
        <f>IF(P$5,COUNTIFS(Medications!$AN:$AN,ReportAndOutcomeHistory!$A314,Medications!$AP:$AP,1,Medications!$K:$K,$C314),"")</f>
        <v/>
      </c>
      <c r="Q314" t="str">
        <f>IF(Q$5,COUNTIFS(Medications!$AN:$AN,ReportAndOutcomeHistory!$A314,Medications!$AP:$AP,1,Medications!$K:$K,$C314),"")</f>
        <v/>
      </c>
      <c r="R314" t="str">
        <f>IF(R$5,COUNTIFS(Medications!$AN:$AN,ReportAndOutcomeHistory!$A314,Medications!$AP:$AP,1,Medications!$K:$K,$C314),"")</f>
        <v/>
      </c>
    </row>
    <row r="315" spans="1:18" ht="15">
      <c r="A315" t="s">
        <v>40</v>
      </c>
      <c r="B315" t="str">
        <f>"Number of psychotropic medication orders tracked this month: Informed treatment: """&amp;C315&amp;""""</f>
        <v>Number of psychotropic medication orders tracked this month: Informed treatment: ""</v>
      </c>
      <c r="C315" t="str">
        <f>""</f>
        <v/>
      </c>
      <c r="E315" t="s">
        <v>466</v>
      </c>
      <c r="F315" t="str">
        <f>IF(F$5,COUNTIFS(Medications!$AN:$AN,ReportAndOutcomeHistory!$A315,Medications!$AP:$AP,1,Medications!$K:$K,$C315),"")</f>
        <v/>
      </c>
      <c r="G315" t="str">
        <f>IF(G$5,COUNTIFS(Medications!$AN:$AN,ReportAndOutcomeHistory!$A315,Medications!$AP:$AP,1,Medications!$K:$K,$C315),"")</f>
        <v/>
      </c>
      <c r="H315" t="str">
        <f>IF(H$5,COUNTIFS(Medications!$AN:$AN,ReportAndOutcomeHistory!$A315,Medications!$AP:$AP,1,Medications!$K:$K,$C315),"")</f>
        <v/>
      </c>
      <c r="I315" t="str">
        <f>IF(I$5,COUNTIFS(Medications!$AN:$AN,ReportAndOutcomeHistory!$A315,Medications!$AP:$AP,1,Medications!$K:$K,$C315),"")</f>
        <v/>
      </c>
      <c r="J315" t="str">
        <f>IF(J$5,COUNTIFS(Medications!$AN:$AN,ReportAndOutcomeHistory!$A315,Medications!$AP:$AP,1,Medications!$K:$K,$C315),"")</f>
        <v/>
      </c>
      <c r="K315" t="str">
        <f>IF(K$5,COUNTIFS(Medications!$AN:$AN,ReportAndOutcomeHistory!$A315,Medications!$AP:$AP,1,Medications!$K:$K,$C315),"")</f>
        <v/>
      </c>
      <c r="L315" t="str">
        <f>IF(L$5,COUNTIFS(Medications!$AN:$AN,ReportAndOutcomeHistory!$A315,Medications!$AP:$AP,1,Medications!$K:$K,$C315),"")</f>
        <v/>
      </c>
      <c r="M315" t="str">
        <f>IF(M$5,COUNTIFS(Medications!$AN:$AN,ReportAndOutcomeHistory!$A315,Medications!$AP:$AP,1,Medications!$K:$K,$C315),"")</f>
        <v/>
      </c>
      <c r="N315" t="str">
        <f>IF(N$5,COUNTIFS(Medications!$AN:$AN,ReportAndOutcomeHistory!$A315,Medications!$AP:$AP,1,Medications!$K:$K,$C315),"")</f>
        <v/>
      </c>
      <c r="O315" t="str">
        <f>IF(O$5,COUNTIFS(Medications!$AN:$AN,ReportAndOutcomeHistory!$A315,Medications!$AP:$AP,1,Medications!$K:$K,$C315),"")</f>
        <v/>
      </c>
      <c r="P315" t="str">
        <f>IF(P$5,COUNTIFS(Medications!$AN:$AN,ReportAndOutcomeHistory!$A315,Medications!$AP:$AP,1,Medications!$K:$K,$C315),"")</f>
        <v/>
      </c>
      <c r="Q315" t="str">
        <f>IF(Q$5,COUNTIFS(Medications!$AN:$AN,ReportAndOutcomeHistory!$A315,Medications!$AP:$AP,1,Medications!$K:$K,$C315),"")</f>
        <v/>
      </c>
      <c r="R315" t="str">
        <f>IF(R$5,COUNTIFS(Medications!$AN:$AN,ReportAndOutcomeHistory!$A315,Medications!$AP:$AP,1,Medications!$K:$K,$C315),"")</f>
        <v/>
      </c>
    </row>
    <row r="316" spans="1:18" ht="15">
      <c r="A316" t="s">
        <v>40</v>
      </c>
      <c r="B316" t="str">
        <f>"Number of psychotropic medication orders tracked this month: Informed choose: """&amp;C316&amp;""""</f>
        <v>Number of psychotropic medication orders tracked this month: Informed choose: "1"</v>
      </c>
      <c r="C316">
        <v>1</v>
      </c>
      <c r="E316" t="s">
        <v>466</v>
      </c>
      <c r="F316" t="str">
        <f>IF(F$5,COUNTIFS(Medications!$AN:$AN,ReportAndOutcomeHistory!$A316,Medications!$AP:$AP,1,Medications!$L:$L,$C316),"")</f>
        <v/>
      </c>
      <c r="G316" t="str">
        <f>IF(G$5,COUNTIFS(Medications!$AN:$AN,ReportAndOutcomeHistory!$A316,Medications!$AP:$AP,1,Medications!$L:$L,$C316),"")</f>
        <v/>
      </c>
      <c r="H316" t="str">
        <f>IF(H$5,COUNTIFS(Medications!$AN:$AN,ReportAndOutcomeHistory!$A316,Medications!$AP:$AP,1,Medications!$L:$L,$C316),"")</f>
        <v/>
      </c>
      <c r="I316" t="str">
        <f>IF(I$5,COUNTIFS(Medications!$AN:$AN,ReportAndOutcomeHistory!$A316,Medications!$AP:$AP,1,Medications!$L:$L,$C316),"")</f>
        <v/>
      </c>
      <c r="J316" t="str">
        <f>IF(J$5,COUNTIFS(Medications!$AN:$AN,ReportAndOutcomeHistory!$A316,Medications!$AP:$AP,1,Medications!$L:$L,$C316),"")</f>
        <v/>
      </c>
      <c r="K316" t="str">
        <f>IF(K$5,COUNTIFS(Medications!$AN:$AN,ReportAndOutcomeHistory!$A316,Medications!$AP:$AP,1,Medications!$L:$L,$C316),"")</f>
        <v/>
      </c>
      <c r="L316" t="str">
        <f>IF(L$5,COUNTIFS(Medications!$AN:$AN,ReportAndOutcomeHistory!$A316,Medications!$AP:$AP,1,Medications!$L:$L,$C316),"")</f>
        <v/>
      </c>
      <c r="M316" t="str">
        <f>IF(M$5,COUNTIFS(Medications!$AN:$AN,ReportAndOutcomeHistory!$A316,Medications!$AP:$AP,1,Medications!$L:$L,$C316),"")</f>
        <v/>
      </c>
      <c r="N316" t="str">
        <f>IF(N$5,COUNTIFS(Medications!$AN:$AN,ReportAndOutcomeHistory!$A316,Medications!$AP:$AP,1,Medications!$L:$L,$C316),"")</f>
        <v/>
      </c>
      <c r="O316" t="str">
        <f>IF(O$5,COUNTIFS(Medications!$AN:$AN,ReportAndOutcomeHistory!$A316,Medications!$AP:$AP,1,Medications!$L:$L,$C316),"")</f>
        <v/>
      </c>
      <c r="P316" t="str">
        <f>IF(P$5,COUNTIFS(Medications!$AN:$AN,ReportAndOutcomeHistory!$A316,Medications!$AP:$AP,1,Medications!$L:$L,$C316),"")</f>
        <v/>
      </c>
      <c r="Q316" t="str">
        <f>IF(Q$5,COUNTIFS(Medications!$AN:$AN,ReportAndOutcomeHistory!$A316,Medications!$AP:$AP,1,Medications!$L:$L,$C316),"")</f>
        <v/>
      </c>
      <c r="R316" t="str">
        <f>IF(R$5,COUNTIFS(Medications!$AN:$AN,ReportAndOutcomeHistory!$A316,Medications!$AP:$AP,1,Medications!$L:$L,$C316),"")</f>
        <v/>
      </c>
    </row>
    <row r="317" spans="1:18" ht="15">
      <c r="A317" t="s">
        <v>40</v>
      </c>
      <c r="B317" t="str">
        <f>"Number of psychotropic medication orders tracked this month: Informed choose: """&amp;C317&amp;""""</f>
        <v>Number of psychotropic medication orders tracked this month: Informed choose: "0"</v>
      </c>
      <c r="C317">
        <v>0</v>
      </c>
      <c r="E317" t="s">
        <v>466</v>
      </c>
      <c r="F317" t="str">
        <f>IF(F$5,COUNTIFS(Medications!$AN:$AN,ReportAndOutcomeHistory!$A317,Medications!$AP:$AP,1,Medications!$L:$L,$C317),"")</f>
        <v/>
      </c>
      <c r="G317" t="str">
        <f>IF(G$5,COUNTIFS(Medications!$AN:$AN,ReportAndOutcomeHistory!$A317,Medications!$AP:$AP,1,Medications!$L:$L,$C317),"")</f>
        <v/>
      </c>
      <c r="H317" t="str">
        <f>IF(H$5,COUNTIFS(Medications!$AN:$AN,ReportAndOutcomeHistory!$A317,Medications!$AP:$AP,1,Medications!$L:$L,$C317),"")</f>
        <v/>
      </c>
      <c r="I317" t="str">
        <f>IF(I$5,COUNTIFS(Medications!$AN:$AN,ReportAndOutcomeHistory!$A317,Medications!$AP:$AP,1,Medications!$L:$L,$C317),"")</f>
        <v/>
      </c>
      <c r="J317" t="str">
        <f>IF(J$5,COUNTIFS(Medications!$AN:$AN,ReportAndOutcomeHistory!$A317,Medications!$AP:$AP,1,Medications!$L:$L,$C317),"")</f>
        <v/>
      </c>
      <c r="K317" t="str">
        <f>IF(K$5,COUNTIFS(Medications!$AN:$AN,ReportAndOutcomeHistory!$A317,Medications!$AP:$AP,1,Medications!$L:$L,$C317),"")</f>
        <v/>
      </c>
      <c r="L317" t="str">
        <f>IF(L$5,COUNTIFS(Medications!$AN:$AN,ReportAndOutcomeHistory!$A317,Medications!$AP:$AP,1,Medications!$L:$L,$C317),"")</f>
        <v/>
      </c>
      <c r="M317" t="str">
        <f>IF(M$5,COUNTIFS(Medications!$AN:$AN,ReportAndOutcomeHistory!$A317,Medications!$AP:$AP,1,Medications!$L:$L,$C317),"")</f>
        <v/>
      </c>
      <c r="N317" t="str">
        <f>IF(N$5,COUNTIFS(Medications!$AN:$AN,ReportAndOutcomeHistory!$A317,Medications!$AP:$AP,1,Medications!$L:$L,$C317),"")</f>
        <v/>
      </c>
      <c r="O317" t="str">
        <f>IF(O$5,COUNTIFS(Medications!$AN:$AN,ReportAndOutcomeHistory!$A317,Medications!$AP:$AP,1,Medications!$L:$L,$C317),"")</f>
        <v/>
      </c>
      <c r="P317" t="str">
        <f>IF(P$5,COUNTIFS(Medications!$AN:$AN,ReportAndOutcomeHistory!$A317,Medications!$AP:$AP,1,Medications!$L:$L,$C317),"")</f>
        <v/>
      </c>
      <c r="Q317" t="str">
        <f>IF(Q$5,COUNTIFS(Medications!$AN:$AN,ReportAndOutcomeHistory!$A317,Medications!$AP:$AP,1,Medications!$L:$L,$C317),"")</f>
        <v/>
      </c>
      <c r="R317" t="str">
        <f>IF(R$5,COUNTIFS(Medications!$AN:$AN,ReportAndOutcomeHistory!$A317,Medications!$AP:$AP,1,Medications!$L:$L,$C317),"")</f>
        <v/>
      </c>
    </row>
    <row r="318" spans="1:18" ht="15">
      <c r="A318" t="s">
        <v>40</v>
      </c>
      <c r="B318" t="str">
        <f>"Number of psychotropic medication orders tracked this month: Informed choose: """&amp;C318&amp;""""</f>
        <v>Number of psychotropic medication orders tracked this month: Informed choose: ""</v>
      </c>
      <c r="C318" t="str">
        <f>""</f>
        <v/>
      </c>
      <c r="E318" t="s">
        <v>466</v>
      </c>
      <c r="F318" t="str">
        <f>IF(F$5,COUNTIFS(Medications!$AN:$AN,ReportAndOutcomeHistory!$A318,Medications!$AP:$AP,1,Medications!$L:$L,$C318),"")</f>
        <v/>
      </c>
      <c r="G318" t="str">
        <f>IF(G$5,COUNTIFS(Medications!$AN:$AN,ReportAndOutcomeHistory!$A318,Medications!$AP:$AP,1,Medications!$L:$L,$C318),"")</f>
        <v/>
      </c>
      <c r="H318" t="str">
        <f>IF(H$5,COUNTIFS(Medications!$AN:$AN,ReportAndOutcomeHistory!$A318,Medications!$AP:$AP,1,Medications!$L:$L,$C318),"")</f>
        <v/>
      </c>
      <c r="I318" t="str">
        <f>IF(I$5,COUNTIFS(Medications!$AN:$AN,ReportAndOutcomeHistory!$A318,Medications!$AP:$AP,1,Medications!$L:$L,$C318),"")</f>
        <v/>
      </c>
      <c r="J318" t="str">
        <f>IF(J$5,COUNTIFS(Medications!$AN:$AN,ReportAndOutcomeHistory!$A318,Medications!$AP:$AP,1,Medications!$L:$L,$C318),"")</f>
        <v/>
      </c>
      <c r="K318" t="str">
        <f>IF(K$5,COUNTIFS(Medications!$AN:$AN,ReportAndOutcomeHistory!$A318,Medications!$AP:$AP,1,Medications!$L:$L,$C318),"")</f>
        <v/>
      </c>
      <c r="L318" t="str">
        <f>IF(L$5,COUNTIFS(Medications!$AN:$AN,ReportAndOutcomeHistory!$A318,Medications!$AP:$AP,1,Medications!$L:$L,$C318),"")</f>
        <v/>
      </c>
      <c r="M318" t="str">
        <f>IF(M$5,COUNTIFS(Medications!$AN:$AN,ReportAndOutcomeHistory!$A318,Medications!$AP:$AP,1,Medications!$L:$L,$C318),"")</f>
        <v/>
      </c>
      <c r="N318" t="str">
        <f>IF(N$5,COUNTIFS(Medications!$AN:$AN,ReportAndOutcomeHistory!$A318,Medications!$AP:$AP,1,Medications!$L:$L,$C318),"")</f>
        <v/>
      </c>
      <c r="O318" t="str">
        <f>IF(O$5,COUNTIFS(Medications!$AN:$AN,ReportAndOutcomeHistory!$A318,Medications!$AP:$AP,1,Medications!$L:$L,$C318),"")</f>
        <v/>
      </c>
      <c r="P318" t="str">
        <f>IF(P$5,COUNTIFS(Medications!$AN:$AN,ReportAndOutcomeHistory!$A318,Medications!$AP:$AP,1,Medications!$L:$L,$C318),"")</f>
        <v/>
      </c>
      <c r="Q318" t="str">
        <f>IF(Q$5,COUNTIFS(Medications!$AN:$AN,ReportAndOutcomeHistory!$A318,Medications!$AP:$AP,1,Medications!$L:$L,$C318),"")</f>
        <v/>
      </c>
      <c r="R318" t="str">
        <f>IF(R$5,COUNTIFS(Medications!$AN:$AN,ReportAndOutcomeHistory!$A318,Medications!$AP:$AP,1,Medications!$L:$L,$C318),"")</f>
        <v/>
      </c>
    </row>
    <row r="319" spans="1:18" ht="15">
      <c r="A319" t="s">
        <v>40</v>
      </c>
      <c r="B319" t="s">
        <v>853</v>
      </c>
      <c r="E319" t="s">
        <v>466</v>
      </c>
      <c r="F319" t="str">
        <f>IF(F$5,COUNTIFS(Medications!$AN:$AN,$A319,Medications!$AP:$AP,1,Medications!$AS:$AS,1),"")</f>
        <v/>
      </c>
      <c r="G319" t="str">
        <f>IF(G$5,COUNTIFS(Medications!$AN:$AN,$A319,Medications!$AP:$AP,1,Medications!$AS:$AS,1),"")</f>
        <v/>
      </c>
      <c r="H319" t="str">
        <f>IF(H$5,COUNTIFS(Medications!$AN:$AN,$A319,Medications!$AP:$AP,1,Medications!$AS:$AS,1),"")</f>
        <v/>
      </c>
      <c r="I319" t="str">
        <f>IF(I$5,COUNTIFS(Medications!$AN:$AN,$A319,Medications!$AP:$AP,1,Medications!$AS:$AS,1),"")</f>
        <v/>
      </c>
      <c r="J319" t="str">
        <f>IF(J$5,COUNTIFS(Medications!$AN:$AN,$A319,Medications!$AP:$AP,1,Medications!$AS:$AS,1),"")</f>
        <v/>
      </c>
      <c r="K319" t="str">
        <f>IF(K$5,COUNTIFS(Medications!$AN:$AN,$A319,Medications!$AP:$AP,1,Medications!$AS:$AS,1),"")</f>
        <v/>
      </c>
      <c r="L319" t="str">
        <f>IF(L$5,COUNTIFS(Medications!$AN:$AN,$A319,Medications!$AP:$AP,1,Medications!$AS:$AS,1),"")</f>
        <v/>
      </c>
      <c r="M319" t="str">
        <f>IF(M$5,COUNTIFS(Medications!$AN:$AN,$A319,Medications!$AP:$AP,1,Medications!$AS:$AS,1),"")</f>
        <v/>
      </c>
      <c r="N319" t="str">
        <f>IF(N$5,COUNTIFS(Medications!$AN:$AN,$A319,Medications!$AP:$AP,1,Medications!$AS:$AS,1),"")</f>
        <v/>
      </c>
      <c r="O319" t="str">
        <f>IF(O$5,COUNTIFS(Medications!$AN:$AN,$A319,Medications!$AP:$AP,1,Medications!$AS:$AS,1),"")</f>
        <v/>
      </c>
      <c r="P319" t="str">
        <f>IF(P$5,COUNTIFS(Medications!$AN:$AN,$A319,Medications!$AP:$AP,1,Medications!$AS:$AS,1),"")</f>
        <v/>
      </c>
      <c r="Q319" t="str">
        <f>IF(Q$5,COUNTIFS(Medications!$AN:$AN,$A319,Medications!$AP:$AP,1,Medications!$AS:$AS,1),"")</f>
        <v/>
      </c>
      <c r="R319" t="str">
        <f>IF(R$5,COUNTIFS(Medications!$AN:$AN,$A319,Medications!$AP:$AP,1,Medications!$AS:$AS,1),"")</f>
        <v/>
      </c>
    </row>
    <row r="320" spans="1:18" ht="15">
      <c r="A320" t="s">
        <v>40</v>
      </c>
      <c r="B320" t="s">
        <v>863</v>
      </c>
      <c r="E320" t="s">
        <v>465</v>
      </c>
      <c r="F320" t="str">
        <f>IF(F$5,COUNTIFS(Residents!$G:$G,$A320,Residents!$ID:$ID,1,Residents!$IE:$IE,1,Residents!$M:$M,1),"")</f>
        <v/>
      </c>
      <c r="G320" t="str">
        <f>IF(G$5,COUNTIFS(Residents!$G:$G,$A320,Residents!$ID:$ID,1,Residents!$IE:$IE,1,Residents!$M:$M,1),"")</f>
        <v/>
      </c>
      <c r="H320" t="str">
        <f>IF(H$5,COUNTIFS(Residents!$G:$G,$A320,Residents!$ID:$ID,1,Residents!$IE:$IE,1,Residents!$M:$M,1),"")</f>
        <v/>
      </c>
      <c r="I320" t="str">
        <f>IF(I$5,COUNTIFS(Residents!$G:$G,$A320,Residents!$ID:$ID,1,Residents!$IE:$IE,1,Residents!$M:$M,1),"")</f>
        <v/>
      </c>
      <c r="J320" t="str">
        <f>IF(J$5,COUNTIFS(Residents!$G:$G,$A320,Residents!$ID:$ID,1,Residents!$IE:$IE,1,Residents!$M:$M,1),"")</f>
        <v/>
      </c>
      <c r="K320" t="str">
        <f>IF(K$5,COUNTIFS(Residents!$G:$G,$A320,Residents!$ID:$ID,1,Residents!$IE:$IE,1,Residents!$M:$M,1),"")</f>
        <v/>
      </c>
      <c r="L320" t="str">
        <f>IF(L$5,COUNTIFS(Residents!$G:$G,$A320,Residents!$ID:$ID,1,Residents!$IE:$IE,1,Residents!$M:$M,1),"")</f>
        <v/>
      </c>
      <c r="M320" t="str">
        <f>IF(M$5,COUNTIFS(Residents!$G:$G,$A320,Residents!$ID:$ID,1,Residents!$IE:$IE,1,Residents!$M:$M,1),"")</f>
        <v/>
      </c>
      <c r="N320" t="str">
        <f>IF(N$5,COUNTIFS(Residents!$G:$G,$A320,Residents!$ID:$ID,1,Residents!$IE:$IE,1,Residents!$M:$M,1),"")</f>
        <v/>
      </c>
      <c r="O320" t="str">
        <f>IF(O$5,COUNTIFS(Residents!$G:$G,$A320,Residents!$ID:$ID,1,Residents!$IE:$IE,1,Residents!$M:$M,1),"")</f>
        <v/>
      </c>
      <c r="P320" t="str">
        <f>IF(P$5,COUNTIFS(Residents!$G:$G,$A320,Residents!$ID:$ID,1,Residents!$IE:$IE,1,Residents!$M:$M,1),"")</f>
        <v/>
      </c>
      <c r="Q320" t="str">
        <f>IF(Q$5,COUNTIFS(Residents!$G:$G,$A320,Residents!$ID:$ID,1,Residents!$IE:$IE,1,Residents!$M:$M,1),"")</f>
        <v/>
      </c>
      <c r="R320" t="str">
        <f>IF(R$5,COUNTIFS(Residents!$G:$G,$A320,Residents!$ID:$ID,1,Residents!$IE:$IE,1,Residents!$M:$M,1),"")</f>
        <v/>
      </c>
    </row>
    <row r="321" spans="1:18" ht="15">
      <c r="A321" t="s">
        <v>40</v>
      </c>
      <c r="B321" t="s">
        <v>864</v>
      </c>
      <c r="E321" t="s">
        <v>465</v>
      </c>
      <c r="F321" t="str">
        <f>IF(F$5,COUNTIFS(Residents!$G:$G,$A321,Residents!$ID:$ID,1,Residents!$IF:$IF,1,Residents!$AH:$AH,1),"")</f>
        <v/>
      </c>
      <c r="G321" t="str">
        <f>IF(G$5,COUNTIFS(Residents!$G:$G,$A321,Residents!$ID:$ID,1,Residents!$IF:$IF,1,Residents!$AH:$AH,1),"")</f>
        <v/>
      </c>
      <c r="H321" t="str">
        <f>IF(H$5,COUNTIFS(Residents!$G:$G,$A321,Residents!$ID:$ID,1,Residents!$IF:$IF,1,Residents!$AH:$AH,1),"")</f>
        <v/>
      </c>
      <c r="I321" t="str">
        <f>IF(I$5,COUNTIFS(Residents!$G:$G,$A321,Residents!$ID:$ID,1,Residents!$IF:$IF,1,Residents!$AH:$AH,1),"")</f>
        <v/>
      </c>
      <c r="J321" t="str">
        <f>IF(J$5,COUNTIFS(Residents!$G:$G,$A321,Residents!$ID:$ID,1,Residents!$IF:$IF,1,Residents!$AH:$AH,1),"")</f>
        <v/>
      </c>
      <c r="K321" t="str">
        <f>IF(K$5,COUNTIFS(Residents!$G:$G,$A321,Residents!$ID:$ID,1,Residents!$IF:$IF,1,Residents!$AH:$AH,1),"")</f>
        <v/>
      </c>
      <c r="L321" t="str">
        <f>IF(L$5,COUNTIFS(Residents!$G:$G,$A321,Residents!$ID:$ID,1,Residents!$IF:$IF,1,Residents!$AH:$AH,1),"")</f>
        <v/>
      </c>
      <c r="M321" t="str">
        <f>IF(M$5,COUNTIFS(Residents!$G:$G,$A321,Residents!$ID:$ID,1,Residents!$IF:$IF,1,Residents!$AH:$AH,1),"")</f>
        <v/>
      </c>
      <c r="N321" t="str">
        <f>IF(N$5,COUNTIFS(Residents!$G:$G,$A321,Residents!$ID:$ID,1,Residents!$IF:$IF,1,Residents!$AH:$AH,1),"")</f>
        <v/>
      </c>
      <c r="O321" t="str">
        <f>IF(O$5,COUNTIFS(Residents!$G:$G,$A321,Residents!$ID:$ID,1,Residents!$IF:$IF,1,Residents!$AH:$AH,1),"")</f>
        <v/>
      </c>
      <c r="P321" t="str">
        <f>IF(P$5,COUNTIFS(Residents!$G:$G,$A321,Residents!$ID:$ID,1,Residents!$IF:$IF,1,Residents!$AH:$AH,1),"")</f>
        <v/>
      </c>
      <c r="Q321" t="str">
        <f>IF(Q$5,COUNTIFS(Residents!$G:$G,$A321,Residents!$ID:$ID,1,Residents!$IF:$IF,1,Residents!$AH:$AH,1),"")</f>
        <v/>
      </c>
      <c r="R321" t="str">
        <f>IF(R$5,COUNTIFS(Residents!$G:$G,$A321,Residents!$ID:$ID,1,Residents!$IF:$IF,1,Residents!$AH:$AH,1),"")</f>
        <v/>
      </c>
    </row>
    <row r="322" spans="1:18" ht="15">
      <c r="A322" t="s">
        <v>40</v>
      </c>
      <c r="B322" t="s">
        <v>865</v>
      </c>
      <c r="E322" t="s">
        <v>465</v>
      </c>
      <c r="F322" t="str">
        <f>IF(F$5,COUNTIFS(Residents!$G:$G,$A322,Residents!$ID:$ID,1,Residents!$IF:$IF,1,Residents!$AI:$AI,1),"")</f>
        <v/>
      </c>
      <c r="G322" t="str">
        <f>IF(G$5,COUNTIFS(Residents!$G:$G,$A322,Residents!$ID:$ID,1,Residents!$IF:$IF,1,Residents!$AI:$AI,1),"")</f>
        <v/>
      </c>
      <c r="H322" t="str">
        <f>IF(H$5,COUNTIFS(Residents!$G:$G,$A322,Residents!$ID:$ID,1,Residents!$IF:$IF,1,Residents!$AI:$AI,1),"")</f>
        <v/>
      </c>
      <c r="I322" t="str">
        <f>IF(I$5,COUNTIFS(Residents!$G:$G,$A322,Residents!$ID:$ID,1,Residents!$IF:$IF,1,Residents!$AI:$AI,1),"")</f>
        <v/>
      </c>
      <c r="J322" t="str">
        <f>IF(J$5,COUNTIFS(Residents!$G:$G,$A322,Residents!$ID:$ID,1,Residents!$IF:$IF,1,Residents!$AI:$AI,1),"")</f>
        <v/>
      </c>
      <c r="K322" t="str">
        <f>IF(K$5,COUNTIFS(Residents!$G:$G,$A322,Residents!$ID:$ID,1,Residents!$IF:$IF,1,Residents!$AI:$AI,1),"")</f>
        <v/>
      </c>
      <c r="L322" t="str">
        <f>IF(L$5,COUNTIFS(Residents!$G:$G,$A322,Residents!$ID:$ID,1,Residents!$IF:$IF,1,Residents!$AI:$AI,1),"")</f>
        <v/>
      </c>
      <c r="M322" t="str">
        <f>IF(M$5,COUNTIFS(Residents!$G:$G,$A322,Residents!$ID:$ID,1,Residents!$IF:$IF,1,Residents!$AI:$AI,1),"")</f>
        <v/>
      </c>
      <c r="N322" t="str">
        <f>IF(N$5,COUNTIFS(Residents!$G:$G,$A322,Residents!$ID:$ID,1,Residents!$IF:$IF,1,Residents!$AI:$AI,1),"")</f>
        <v/>
      </c>
      <c r="O322" t="str">
        <f>IF(O$5,COUNTIFS(Residents!$G:$G,$A322,Residents!$ID:$ID,1,Residents!$IF:$IF,1,Residents!$AI:$AI,1),"")</f>
        <v/>
      </c>
      <c r="P322" t="str">
        <f>IF(P$5,COUNTIFS(Residents!$G:$G,$A322,Residents!$ID:$ID,1,Residents!$IF:$IF,1,Residents!$AI:$AI,1),"")</f>
        <v/>
      </c>
      <c r="Q322" t="str">
        <f>IF(Q$5,COUNTIFS(Residents!$G:$G,$A322,Residents!$ID:$ID,1,Residents!$IF:$IF,1,Residents!$AI:$AI,1),"")</f>
        <v/>
      </c>
      <c r="R322" t="str">
        <f>IF(R$5,COUNTIFS(Residents!$G:$G,$A322,Residents!$ID:$ID,1,Residents!$IF:$IF,1,Residents!$AI:$AI,1),"")</f>
        <v/>
      </c>
    </row>
    <row r="323" spans="1:18" ht="15">
      <c r="A323" t="s">
        <v>40</v>
      </c>
      <c r="B323" t="s">
        <v>866</v>
      </c>
      <c r="E323" t="s">
        <v>465</v>
      </c>
      <c r="F323" t="str">
        <f>IF(F$5,COUNTIFS(Residents!$G:$G,$A323,Residents!$ID:$ID,1,Residents!$IN:$IN,1),"")</f>
        <v/>
      </c>
      <c r="G323" t="str">
        <f>IF(G$5,COUNTIFS(Residents!$G:$G,$A323,Residents!$ID:$ID,1,Residents!$IN:$IN,1),"")</f>
        <v/>
      </c>
      <c r="H323" t="str">
        <f>IF(H$5,COUNTIFS(Residents!$G:$G,$A323,Residents!$ID:$ID,1,Residents!$IN:$IN,1),"")</f>
        <v/>
      </c>
      <c r="I323" t="str">
        <f>IF(I$5,COUNTIFS(Residents!$G:$G,$A323,Residents!$ID:$ID,1,Residents!$IN:$IN,1),"")</f>
        <v/>
      </c>
      <c r="J323" t="str">
        <f>IF(J$5,COUNTIFS(Residents!$G:$G,$A323,Residents!$ID:$ID,1,Residents!$IN:$IN,1),"")</f>
        <v/>
      </c>
      <c r="K323" t="str">
        <f>IF(K$5,COUNTIFS(Residents!$G:$G,$A323,Residents!$ID:$ID,1,Residents!$IN:$IN,1),"")</f>
        <v/>
      </c>
      <c r="L323" t="str">
        <f>IF(L$5,COUNTIFS(Residents!$G:$G,$A323,Residents!$ID:$ID,1,Residents!$IN:$IN,1),"")</f>
        <v/>
      </c>
      <c r="M323" t="str">
        <f>IF(M$5,COUNTIFS(Residents!$G:$G,$A323,Residents!$ID:$ID,1,Residents!$IN:$IN,1),"")</f>
        <v/>
      </c>
      <c r="N323" t="str">
        <f>IF(N$5,COUNTIFS(Residents!$G:$G,$A323,Residents!$ID:$ID,1,Residents!$IN:$IN,1),"")</f>
        <v/>
      </c>
      <c r="O323" t="str">
        <f>IF(O$5,COUNTIFS(Residents!$G:$G,$A323,Residents!$ID:$ID,1,Residents!$IN:$IN,1),"")</f>
        <v/>
      </c>
      <c r="P323" t="str">
        <f>IF(P$5,COUNTIFS(Residents!$G:$G,$A323,Residents!$ID:$ID,1,Residents!$IN:$IN,1),"")</f>
        <v/>
      </c>
      <c r="Q323" t="str">
        <f>IF(Q$5,COUNTIFS(Residents!$G:$G,$A323,Residents!$ID:$ID,1,Residents!$IN:$IN,1),"")</f>
        <v/>
      </c>
      <c r="R323" t="str">
        <f>IF(R$5,COUNTIFS(Residents!$G:$G,$A323,Residents!$ID:$ID,1,Residents!$IN:$IN,1),"")</f>
        <v/>
      </c>
    </row>
    <row r="324" spans="1:18" ht="15">
      <c r="A324" t="s">
        <v>40</v>
      </c>
      <c r="B324" t="s">
        <v>867</v>
      </c>
      <c r="E324" t="s">
        <v>465</v>
      </c>
      <c r="F324" t="str">
        <f>IF(F$5,COUNTIFS(Residents!$G:$G,$A324,Residents!$ID:$ID,1,Residents!$BY:$BY,"&lt;&gt;"&amp;""),"")</f>
        <v/>
      </c>
      <c r="G324" t="str">
        <f>IF(G$5,COUNTIFS(Residents!$G:$G,$A324,Residents!$ID:$ID,1,Residents!$BY:$BY,"&lt;&gt;"&amp;""),"")</f>
        <v/>
      </c>
      <c r="H324" t="str">
        <f>IF(H$5,COUNTIFS(Residents!$G:$G,$A324,Residents!$ID:$ID,1,Residents!$BY:$BY,"&lt;&gt;"&amp;""),"")</f>
        <v/>
      </c>
      <c r="I324" t="str">
        <f>IF(I$5,COUNTIFS(Residents!$G:$G,$A324,Residents!$ID:$ID,1,Residents!$BY:$BY,"&lt;&gt;"&amp;""),"")</f>
        <v/>
      </c>
      <c r="J324" t="str">
        <f>IF(J$5,COUNTIFS(Residents!$G:$G,$A324,Residents!$ID:$ID,1,Residents!$BY:$BY,"&lt;&gt;"&amp;""),"")</f>
        <v/>
      </c>
      <c r="K324" t="str">
        <f>IF(K$5,COUNTIFS(Residents!$G:$G,$A324,Residents!$ID:$ID,1,Residents!$BY:$BY,"&lt;&gt;"&amp;""),"")</f>
        <v/>
      </c>
      <c r="L324" t="str">
        <f>IF(L$5,COUNTIFS(Residents!$G:$G,$A324,Residents!$ID:$ID,1,Residents!$BY:$BY,"&lt;&gt;"&amp;""),"")</f>
        <v/>
      </c>
      <c r="M324" t="str">
        <f>IF(M$5,COUNTIFS(Residents!$G:$G,$A324,Residents!$ID:$ID,1,Residents!$BY:$BY,"&lt;&gt;"&amp;""),"")</f>
        <v/>
      </c>
      <c r="N324" t="str">
        <f>IF(N$5,COUNTIFS(Residents!$G:$G,$A324,Residents!$ID:$ID,1,Residents!$BY:$BY,"&lt;&gt;"&amp;""),"")</f>
        <v/>
      </c>
      <c r="O324" t="str">
        <f>IF(O$5,COUNTIFS(Residents!$G:$G,$A324,Residents!$ID:$ID,1,Residents!$BY:$BY,"&lt;&gt;"&amp;""),"")</f>
        <v/>
      </c>
      <c r="P324" t="str">
        <f>IF(P$5,COUNTIFS(Residents!$G:$G,$A324,Residents!$ID:$ID,1,Residents!$BY:$BY,"&lt;&gt;"&amp;""),"")</f>
        <v/>
      </c>
      <c r="Q324" t="str">
        <f>IF(Q$5,COUNTIFS(Residents!$G:$G,$A324,Residents!$ID:$ID,1,Residents!$BY:$BY,"&lt;&gt;"&amp;""),"")</f>
        <v/>
      </c>
      <c r="R324" t="str">
        <f>IF(R$5,COUNTIFS(Residents!$G:$G,$A324,Residents!$ID:$ID,1,Residents!$BY:$BY,"&lt;&gt;"&amp;""),"")</f>
        <v/>
      </c>
    </row>
    <row r="325" spans="1:18" ht="15">
      <c r="A325" t="s">
        <v>40</v>
      </c>
      <c r="B325" t="str">
        <f>"Number of "&amp;C325&amp;" tracked this month"</f>
        <v>Number of Antianxiety Agents tracked this month</v>
      </c>
      <c r="C325" t="s">
        <v>101</v>
      </c>
      <c r="E325" t="s">
        <v>466</v>
      </c>
      <c r="F325" t="str">
        <f>IF(F$5,COUNTIFS(Medications!$AN:$AN,ReportAndOutcomeHistory!$A325,Medications!$AP:$AP,1,Medications!$D:$D,$C325),"")</f>
        <v/>
      </c>
      <c r="G325" t="str">
        <f>IF(G$5,COUNTIFS(Medications!$AN:$AN,ReportAndOutcomeHistory!$A325,Medications!$AP:$AP,1,Medications!$D:$D,$C325),"")</f>
        <v/>
      </c>
      <c r="H325" t="str">
        <f>IF(H$5,COUNTIFS(Medications!$AN:$AN,ReportAndOutcomeHistory!$A325,Medications!$AP:$AP,1,Medications!$D:$D,$C325),"")</f>
        <v/>
      </c>
      <c r="I325" t="str">
        <f>IF(I$5,COUNTIFS(Medications!$AN:$AN,ReportAndOutcomeHistory!$A325,Medications!$AP:$AP,1,Medications!$D:$D,$C325),"")</f>
        <v/>
      </c>
      <c r="J325" t="str">
        <f>IF(J$5,COUNTIFS(Medications!$AN:$AN,ReportAndOutcomeHistory!$A325,Medications!$AP:$AP,1,Medications!$D:$D,$C325),"")</f>
        <v/>
      </c>
      <c r="K325" t="str">
        <f>IF(K$5,COUNTIFS(Medications!$AN:$AN,ReportAndOutcomeHistory!$A325,Medications!$AP:$AP,1,Medications!$D:$D,$C325),"")</f>
        <v/>
      </c>
      <c r="L325" t="str">
        <f>IF(L$5,COUNTIFS(Medications!$AN:$AN,ReportAndOutcomeHistory!$A325,Medications!$AP:$AP,1,Medications!$D:$D,$C325),"")</f>
        <v/>
      </c>
      <c r="M325" t="str">
        <f>IF(M$5,COUNTIFS(Medications!$AN:$AN,ReportAndOutcomeHistory!$A325,Medications!$AP:$AP,1,Medications!$D:$D,$C325),"")</f>
        <v/>
      </c>
      <c r="N325" t="str">
        <f>IF(N$5,COUNTIFS(Medications!$AN:$AN,ReportAndOutcomeHistory!$A325,Medications!$AP:$AP,1,Medications!$D:$D,$C325),"")</f>
        <v/>
      </c>
      <c r="O325" t="str">
        <f>IF(O$5,COUNTIFS(Medications!$AN:$AN,ReportAndOutcomeHistory!$A325,Medications!$AP:$AP,1,Medications!$D:$D,$C325),"")</f>
        <v/>
      </c>
      <c r="P325" t="str">
        <f>IF(P$5,COUNTIFS(Medications!$AN:$AN,ReportAndOutcomeHistory!$A325,Medications!$AP:$AP,1,Medications!$D:$D,$C325),"")</f>
        <v/>
      </c>
      <c r="Q325" t="str">
        <f>IF(Q$5,COUNTIFS(Medications!$AN:$AN,ReportAndOutcomeHistory!$A325,Medications!$AP:$AP,1,Medications!$D:$D,$C325),"")</f>
        <v/>
      </c>
      <c r="R325" t="str">
        <f>IF(R$5,COUNTIFS(Medications!$AN:$AN,ReportAndOutcomeHistory!$A325,Medications!$AP:$AP,1,Medications!$D:$D,$C325),"")</f>
        <v/>
      </c>
    </row>
    <row r="326" spans="1:18" ht="15">
      <c r="A326" t="s">
        <v>40</v>
      </c>
      <c r="B326" t="str">
        <f aca="true" t="shared" si="54" ref="B326:B331">"Number of "&amp;C326&amp;" tracked this month"</f>
        <v>Number of Antidepressants tracked this month</v>
      </c>
      <c r="C326" t="s">
        <v>94</v>
      </c>
      <c r="E326" t="s">
        <v>466</v>
      </c>
      <c r="F326" t="str">
        <f>IF(F$5,COUNTIFS(Medications!$AN:$AN,ReportAndOutcomeHistory!$A326,Medications!$AP:$AP,1,Medications!$D:$D,$C326),"")</f>
        <v/>
      </c>
      <c r="G326" t="str">
        <f>IF(G$5,COUNTIFS(Medications!$AN:$AN,ReportAndOutcomeHistory!$A326,Medications!$AP:$AP,1,Medications!$D:$D,$C326),"")</f>
        <v/>
      </c>
      <c r="H326" t="str">
        <f>IF(H$5,COUNTIFS(Medications!$AN:$AN,ReportAndOutcomeHistory!$A326,Medications!$AP:$AP,1,Medications!$D:$D,$C326),"")</f>
        <v/>
      </c>
      <c r="I326" t="str">
        <f>IF(I$5,COUNTIFS(Medications!$AN:$AN,ReportAndOutcomeHistory!$A326,Medications!$AP:$AP,1,Medications!$D:$D,$C326),"")</f>
        <v/>
      </c>
      <c r="J326" t="str">
        <f>IF(J$5,COUNTIFS(Medications!$AN:$AN,ReportAndOutcomeHistory!$A326,Medications!$AP:$AP,1,Medications!$D:$D,$C326),"")</f>
        <v/>
      </c>
      <c r="K326" t="str">
        <f>IF(K$5,COUNTIFS(Medications!$AN:$AN,ReportAndOutcomeHistory!$A326,Medications!$AP:$AP,1,Medications!$D:$D,$C326),"")</f>
        <v/>
      </c>
      <c r="L326" t="str">
        <f>IF(L$5,COUNTIFS(Medications!$AN:$AN,ReportAndOutcomeHistory!$A326,Medications!$AP:$AP,1,Medications!$D:$D,$C326),"")</f>
        <v/>
      </c>
      <c r="M326" t="str">
        <f>IF(M$5,COUNTIFS(Medications!$AN:$AN,ReportAndOutcomeHistory!$A326,Medications!$AP:$AP,1,Medications!$D:$D,$C326),"")</f>
        <v/>
      </c>
      <c r="N326" t="str">
        <f>IF(N$5,COUNTIFS(Medications!$AN:$AN,ReportAndOutcomeHistory!$A326,Medications!$AP:$AP,1,Medications!$D:$D,$C326),"")</f>
        <v/>
      </c>
      <c r="O326" t="str">
        <f>IF(O$5,COUNTIFS(Medications!$AN:$AN,ReportAndOutcomeHistory!$A326,Medications!$AP:$AP,1,Medications!$D:$D,$C326),"")</f>
        <v/>
      </c>
      <c r="P326" t="str">
        <f>IF(P$5,COUNTIFS(Medications!$AN:$AN,ReportAndOutcomeHistory!$A326,Medications!$AP:$AP,1,Medications!$D:$D,$C326),"")</f>
        <v/>
      </c>
      <c r="Q326" t="str">
        <f>IF(Q$5,COUNTIFS(Medications!$AN:$AN,ReportAndOutcomeHistory!$A326,Medications!$AP:$AP,1,Medications!$D:$D,$C326),"")</f>
        <v/>
      </c>
      <c r="R326" t="str">
        <f>IF(R$5,COUNTIFS(Medications!$AN:$AN,ReportAndOutcomeHistory!$A326,Medications!$AP:$AP,1,Medications!$D:$D,$C326),"")</f>
        <v/>
      </c>
    </row>
    <row r="327" spans="1:18" ht="15">
      <c r="A327" t="s">
        <v>40</v>
      </c>
      <c r="B327" t="str">
        <f t="shared" si="54"/>
        <v>Number of Hypnotics/Sedatives/Sleep Disorder Agents tracked this month</v>
      </c>
      <c r="C327" t="s">
        <v>106</v>
      </c>
      <c r="E327" t="s">
        <v>466</v>
      </c>
      <c r="F327" t="str">
        <f>IF(F$5,COUNTIFS(Medications!$AN:$AN,ReportAndOutcomeHistory!$A327,Medications!$AP:$AP,1,Medications!$D:$D,$C327),"")</f>
        <v/>
      </c>
      <c r="G327" t="str">
        <f>IF(G$5,COUNTIFS(Medications!$AN:$AN,ReportAndOutcomeHistory!$A327,Medications!$AP:$AP,1,Medications!$D:$D,$C327),"")</f>
        <v/>
      </c>
      <c r="H327" t="str">
        <f>IF(H$5,COUNTIFS(Medications!$AN:$AN,ReportAndOutcomeHistory!$A327,Medications!$AP:$AP,1,Medications!$D:$D,$C327),"")</f>
        <v/>
      </c>
      <c r="I327" t="str">
        <f>IF(I$5,COUNTIFS(Medications!$AN:$AN,ReportAndOutcomeHistory!$A327,Medications!$AP:$AP,1,Medications!$D:$D,$C327),"")</f>
        <v/>
      </c>
      <c r="J327" t="str">
        <f>IF(J$5,COUNTIFS(Medications!$AN:$AN,ReportAndOutcomeHistory!$A327,Medications!$AP:$AP,1,Medications!$D:$D,$C327),"")</f>
        <v/>
      </c>
      <c r="K327" t="str">
        <f>IF(K$5,COUNTIFS(Medications!$AN:$AN,ReportAndOutcomeHistory!$A327,Medications!$AP:$AP,1,Medications!$D:$D,$C327),"")</f>
        <v/>
      </c>
      <c r="L327" t="str">
        <f>IF(L$5,COUNTIFS(Medications!$AN:$AN,ReportAndOutcomeHistory!$A327,Medications!$AP:$AP,1,Medications!$D:$D,$C327),"")</f>
        <v/>
      </c>
      <c r="M327" t="str">
        <f>IF(M$5,COUNTIFS(Medications!$AN:$AN,ReportAndOutcomeHistory!$A327,Medications!$AP:$AP,1,Medications!$D:$D,$C327),"")</f>
        <v/>
      </c>
      <c r="N327" t="str">
        <f>IF(N$5,COUNTIFS(Medications!$AN:$AN,ReportAndOutcomeHistory!$A327,Medications!$AP:$AP,1,Medications!$D:$D,$C327),"")</f>
        <v/>
      </c>
      <c r="O327" t="str">
        <f>IF(O$5,COUNTIFS(Medications!$AN:$AN,ReportAndOutcomeHistory!$A327,Medications!$AP:$AP,1,Medications!$D:$D,$C327),"")</f>
        <v/>
      </c>
      <c r="P327" t="str">
        <f>IF(P$5,COUNTIFS(Medications!$AN:$AN,ReportAndOutcomeHistory!$A327,Medications!$AP:$AP,1,Medications!$D:$D,$C327),"")</f>
        <v/>
      </c>
      <c r="Q327" t="str">
        <f>IF(Q$5,COUNTIFS(Medications!$AN:$AN,ReportAndOutcomeHistory!$A327,Medications!$AP:$AP,1,Medications!$D:$D,$C327),"")</f>
        <v/>
      </c>
      <c r="R327" t="str">
        <f>IF(R$5,COUNTIFS(Medications!$AN:$AN,ReportAndOutcomeHistory!$A327,Medications!$AP:$AP,1,Medications!$D:$D,$C327),"")</f>
        <v/>
      </c>
    </row>
    <row r="328" spans="1:18" ht="15">
      <c r="A328" t="s">
        <v>40</v>
      </c>
      <c r="B328" t="str">
        <f t="shared" si="54"/>
        <v>Number of Antipsychotics/Antimanic Agents tracked this month</v>
      </c>
      <c r="C328" t="s">
        <v>109</v>
      </c>
      <c r="E328" t="s">
        <v>466</v>
      </c>
      <c r="F328" t="str">
        <f>IF(F$5,COUNTIFS(Medications!$AN:$AN,ReportAndOutcomeHistory!$A328,Medications!$AP:$AP,1,Medications!$D:$D,$C328),"")</f>
        <v/>
      </c>
      <c r="G328" t="str">
        <f>IF(G$5,COUNTIFS(Medications!$AN:$AN,ReportAndOutcomeHistory!$A328,Medications!$AP:$AP,1,Medications!$D:$D,$C328),"")</f>
        <v/>
      </c>
      <c r="H328" t="str">
        <f>IF(H$5,COUNTIFS(Medications!$AN:$AN,ReportAndOutcomeHistory!$A328,Medications!$AP:$AP,1,Medications!$D:$D,$C328),"")</f>
        <v/>
      </c>
      <c r="I328" t="str">
        <f>IF(I$5,COUNTIFS(Medications!$AN:$AN,ReportAndOutcomeHistory!$A328,Medications!$AP:$AP,1,Medications!$D:$D,$C328),"")</f>
        <v/>
      </c>
      <c r="J328" t="str">
        <f>IF(J$5,COUNTIFS(Medications!$AN:$AN,ReportAndOutcomeHistory!$A328,Medications!$AP:$AP,1,Medications!$D:$D,$C328),"")</f>
        <v/>
      </c>
      <c r="K328" t="str">
        <f>IF(K$5,COUNTIFS(Medications!$AN:$AN,ReportAndOutcomeHistory!$A328,Medications!$AP:$AP,1,Medications!$D:$D,$C328),"")</f>
        <v/>
      </c>
      <c r="L328" t="str">
        <f>IF(L$5,COUNTIFS(Medications!$AN:$AN,ReportAndOutcomeHistory!$A328,Medications!$AP:$AP,1,Medications!$D:$D,$C328),"")</f>
        <v/>
      </c>
      <c r="M328" t="str">
        <f>IF(M$5,COUNTIFS(Medications!$AN:$AN,ReportAndOutcomeHistory!$A328,Medications!$AP:$AP,1,Medications!$D:$D,$C328),"")</f>
        <v/>
      </c>
      <c r="N328" t="str">
        <f>IF(N$5,COUNTIFS(Medications!$AN:$AN,ReportAndOutcomeHistory!$A328,Medications!$AP:$AP,1,Medications!$D:$D,$C328),"")</f>
        <v/>
      </c>
      <c r="O328" t="str">
        <f>IF(O$5,COUNTIFS(Medications!$AN:$AN,ReportAndOutcomeHistory!$A328,Medications!$AP:$AP,1,Medications!$D:$D,$C328),"")</f>
        <v/>
      </c>
      <c r="P328" t="str">
        <f>IF(P$5,COUNTIFS(Medications!$AN:$AN,ReportAndOutcomeHistory!$A328,Medications!$AP:$AP,1,Medications!$D:$D,$C328),"")</f>
        <v/>
      </c>
      <c r="Q328" t="str">
        <f>IF(Q$5,COUNTIFS(Medications!$AN:$AN,ReportAndOutcomeHistory!$A328,Medications!$AP:$AP,1,Medications!$D:$D,$C328),"")</f>
        <v/>
      </c>
      <c r="R328" t="str">
        <f>IF(R$5,COUNTIFS(Medications!$AN:$AN,ReportAndOutcomeHistory!$A328,Medications!$AP:$AP,1,Medications!$D:$D,$C328),"")</f>
        <v/>
      </c>
    </row>
    <row r="329" spans="1:18" ht="15">
      <c r="A329" t="s">
        <v>40</v>
      </c>
      <c r="B329" t="str">
        <f t="shared" si="54"/>
        <v>Number of Psychotherapeutic And Neurological Agents - Misc. tracked this month</v>
      </c>
      <c r="C329" t="s">
        <v>164</v>
      </c>
      <c r="E329" t="s">
        <v>466</v>
      </c>
      <c r="F329" t="str">
        <f>IF(F$5,COUNTIFS(Medications!$AN:$AN,ReportAndOutcomeHistory!$A329,Medications!$AP:$AP,1,Medications!$D:$D,$C329),"")</f>
        <v/>
      </c>
      <c r="G329" t="str">
        <f>IF(G$5,COUNTIFS(Medications!$AN:$AN,ReportAndOutcomeHistory!$A329,Medications!$AP:$AP,1,Medications!$D:$D,$C329),"")</f>
        <v/>
      </c>
      <c r="H329" t="str">
        <f>IF(H$5,COUNTIFS(Medications!$AN:$AN,ReportAndOutcomeHistory!$A329,Medications!$AP:$AP,1,Medications!$D:$D,$C329),"")</f>
        <v/>
      </c>
      <c r="I329" t="str">
        <f>IF(I$5,COUNTIFS(Medications!$AN:$AN,ReportAndOutcomeHistory!$A329,Medications!$AP:$AP,1,Medications!$D:$D,$C329),"")</f>
        <v/>
      </c>
      <c r="J329" t="str">
        <f>IF(J$5,COUNTIFS(Medications!$AN:$AN,ReportAndOutcomeHistory!$A329,Medications!$AP:$AP,1,Medications!$D:$D,$C329),"")</f>
        <v/>
      </c>
      <c r="K329" t="str">
        <f>IF(K$5,COUNTIFS(Medications!$AN:$AN,ReportAndOutcomeHistory!$A329,Medications!$AP:$AP,1,Medications!$D:$D,$C329),"")</f>
        <v/>
      </c>
      <c r="L329" t="str">
        <f>IF(L$5,COUNTIFS(Medications!$AN:$AN,ReportAndOutcomeHistory!$A329,Medications!$AP:$AP,1,Medications!$D:$D,$C329),"")</f>
        <v/>
      </c>
      <c r="M329" t="str">
        <f>IF(M$5,COUNTIFS(Medications!$AN:$AN,ReportAndOutcomeHistory!$A329,Medications!$AP:$AP,1,Medications!$D:$D,$C329),"")</f>
        <v/>
      </c>
      <c r="N329" t="str">
        <f>IF(N$5,COUNTIFS(Medications!$AN:$AN,ReportAndOutcomeHistory!$A329,Medications!$AP:$AP,1,Medications!$D:$D,$C329),"")</f>
        <v/>
      </c>
      <c r="O329" t="str">
        <f>IF(O$5,COUNTIFS(Medications!$AN:$AN,ReportAndOutcomeHistory!$A329,Medications!$AP:$AP,1,Medications!$D:$D,$C329),"")</f>
        <v/>
      </c>
      <c r="P329" t="str">
        <f>IF(P$5,COUNTIFS(Medications!$AN:$AN,ReportAndOutcomeHistory!$A329,Medications!$AP:$AP,1,Medications!$D:$D,$C329),"")</f>
        <v/>
      </c>
      <c r="Q329" t="str">
        <f>IF(Q$5,COUNTIFS(Medications!$AN:$AN,ReportAndOutcomeHistory!$A329,Medications!$AP:$AP,1,Medications!$D:$D,$C329),"")</f>
        <v/>
      </c>
      <c r="R329" t="str">
        <f>IF(R$5,COUNTIFS(Medications!$AN:$AN,ReportAndOutcomeHistory!$A329,Medications!$AP:$AP,1,Medications!$D:$D,$C329),"")</f>
        <v/>
      </c>
    </row>
    <row r="330" spans="1:18" ht="15">
      <c r="A330" t="s">
        <v>40</v>
      </c>
      <c r="B330" t="str">
        <f t="shared" si="54"/>
        <v>Number of Other tracked this month</v>
      </c>
      <c r="C330" t="s">
        <v>27</v>
      </c>
      <c r="E330" t="s">
        <v>466</v>
      </c>
      <c r="F330" t="str">
        <f>IF(F$5,COUNTIFS(Medications!$AN:$AN,ReportAndOutcomeHistory!$A330,Medications!$AP:$AP,1,Medications!$D:$D,$C330),"")</f>
        <v/>
      </c>
      <c r="G330" t="str">
        <f>IF(G$5,COUNTIFS(Medications!$AN:$AN,ReportAndOutcomeHistory!$A330,Medications!$AP:$AP,1,Medications!$D:$D,$C330),"")</f>
        <v/>
      </c>
      <c r="H330" t="str">
        <f>IF(H$5,COUNTIFS(Medications!$AN:$AN,ReportAndOutcomeHistory!$A330,Medications!$AP:$AP,1,Medications!$D:$D,$C330),"")</f>
        <v/>
      </c>
      <c r="I330" t="str">
        <f>IF(I$5,COUNTIFS(Medications!$AN:$AN,ReportAndOutcomeHistory!$A330,Medications!$AP:$AP,1,Medications!$D:$D,$C330),"")</f>
        <v/>
      </c>
      <c r="J330" t="str">
        <f>IF(J$5,COUNTIFS(Medications!$AN:$AN,ReportAndOutcomeHistory!$A330,Medications!$AP:$AP,1,Medications!$D:$D,$C330),"")</f>
        <v/>
      </c>
      <c r="K330" t="str">
        <f>IF(K$5,COUNTIFS(Medications!$AN:$AN,ReportAndOutcomeHistory!$A330,Medications!$AP:$AP,1,Medications!$D:$D,$C330),"")</f>
        <v/>
      </c>
      <c r="L330" t="str">
        <f>IF(L$5,COUNTIFS(Medications!$AN:$AN,ReportAndOutcomeHistory!$A330,Medications!$AP:$AP,1,Medications!$D:$D,$C330),"")</f>
        <v/>
      </c>
      <c r="M330" t="str">
        <f>IF(M$5,COUNTIFS(Medications!$AN:$AN,ReportAndOutcomeHistory!$A330,Medications!$AP:$AP,1,Medications!$D:$D,$C330),"")</f>
        <v/>
      </c>
      <c r="N330" t="str">
        <f>IF(N$5,COUNTIFS(Medications!$AN:$AN,ReportAndOutcomeHistory!$A330,Medications!$AP:$AP,1,Medications!$D:$D,$C330),"")</f>
        <v/>
      </c>
      <c r="O330" t="str">
        <f>IF(O$5,COUNTIFS(Medications!$AN:$AN,ReportAndOutcomeHistory!$A330,Medications!$AP:$AP,1,Medications!$D:$D,$C330),"")</f>
        <v/>
      </c>
      <c r="P330" t="str">
        <f>IF(P$5,COUNTIFS(Medications!$AN:$AN,ReportAndOutcomeHistory!$A330,Medications!$AP:$AP,1,Medications!$D:$D,$C330),"")</f>
        <v/>
      </c>
      <c r="Q330" t="str">
        <f>IF(Q$5,COUNTIFS(Medications!$AN:$AN,ReportAndOutcomeHistory!$A330,Medications!$AP:$AP,1,Medications!$D:$D,$C330),"")</f>
        <v/>
      </c>
      <c r="R330" t="str">
        <f>IF(R$5,COUNTIFS(Medications!$AN:$AN,ReportAndOutcomeHistory!$A330,Medications!$AP:$AP,1,Medications!$D:$D,$C330),"")</f>
        <v/>
      </c>
    </row>
    <row r="331" spans="1:18" ht="15">
      <c r="A331" t="s">
        <v>40</v>
      </c>
      <c r="B331" t="str">
        <f t="shared" si="54"/>
        <v>Number of Unknown tracked this month</v>
      </c>
      <c r="C331" t="s">
        <v>405</v>
      </c>
      <c r="E331" t="s">
        <v>466</v>
      </c>
      <c r="F331" t="str">
        <f>IF(F$5,COUNTIFS(Medications!$AN:$AN,ReportAndOutcomeHistory!$A331,Medications!$AP:$AP,1,Medications!$D:$D,$C331),"")</f>
        <v/>
      </c>
      <c r="G331" t="str">
        <f>IF(G$5,COUNTIFS(Medications!$AN:$AN,ReportAndOutcomeHistory!$A331,Medications!$AP:$AP,1,Medications!$D:$D,$C331),"")</f>
        <v/>
      </c>
      <c r="H331" t="str">
        <f>IF(H$5,COUNTIFS(Medications!$AN:$AN,ReportAndOutcomeHistory!$A331,Medications!$AP:$AP,1,Medications!$D:$D,$C331),"")</f>
        <v/>
      </c>
      <c r="I331" t="str">
        <f>IF(I$5,COUNTIFS(Medications!$AN:$AN,ReportAndOutcomeHistory!$A331,Medications!$AP:$AP,1,Medications!$D:$D,$C331),"")</f>
        <v/>
      </c>
      <c r="J331" t="str">
        <f>IF(J$5,COUNTIFS(Medications!$AN:$AN,ReportAndOutcomeHistory!$A331,Medications!$AP:$AP,1,Medications!$D:$D,$C331),"")</f>
        <v/>
      </c>
      <c r="K331" t="str">
        <f>IF(K$5,COUNTIFS(Medications!$AN:$AN,ReportAndOutcomeHistory!$A331,Medications!$AP:$AP,1,Medications!$D:$D,$C331),"")</f>
        <v/>
      </c>
      <c r="L331" t="str">
        <f>IF(L$5,COUNTIFS(Medications!$AN:$AN,ReportAndOutcomeHistory!$A331,Medications!$AP:$AP,1,Medications!$D:$D,$C331),"")</f>
        <v/>
      </c>
      <c r="M331" t="str">
        <f>IF(M$5,COUNTIFS(Medications!$AN:$AN,ReportAndOutcomeHistory!$A331,Medications!$AP:$AP,1,Medications!$D:$D,$C331),"")</f>
        <v/>
      </c>
      <c r="N331" t="str">
        <f>IF(N$5,COUNTIFS(Medications!$AN:$AN,ReportAndOutcomeHistory!$A331,Medications!$AP:$AP,1,Medications!$D:$D,$C331),"")</f>
        <v/>
      </c>
      <c r="O331" t="str">
        <f>IF(O$5,COUNTIFS(Medications!$AN:$AN,ReportAndOutcomeHistory!$A331,Medications!$AP:$AP,1,Medications!$D:$D,$C331),"")</f>
        <v/>
      </c>
      <c r="P331" t="str">
        <f>IF(P$5,COUNTIFS(Medications!$AN:$AN,ReportAndOutcomeHistory!$A331,Medications!$AP:$AP,1,Medications!$D:$D,$C331),"")</f>
        <v/>
      </c>
      <c r="Q331" t="str">
        <f>IF(Q$5,COUNTIFS(Medications!$AN:$AN,ReportAndOutcomeHistory!$A331,Medications!$AP:$AP,1,Medications!$D:$D,$C331),"")</f>
        <v/>
      </c>
      <c r="R331" t="str">
        <f>IF(R$5,COUNTIFS(Medications!$AN:$AN,ReportAndOutcomeHistory!$A331,Medications!$AP:$AP,1,Medications!$D:$D,$C331),"")</f>
        <v/>
      </c>
    </row>
    <row r="332" spans="1:18" ht="15">
      <c r="A332" t="s">
        <v>40</v>
      </c>
      <c r="B332" t="s">
        <v>899</v>
      </c>
      <c r="E332" t="s">
        <v>466</v>
      </c>
      <c r="F332" t="str">
        <f>IF(F$5,COUNTIFS(Medications!$AN:$AN,ReportAndOutcomeHistory!$A332,Medications!$AP:$AP,1,Medications!$O:$O,1),"")</f>
        <v/>
      </c>
      <c r="G332" t="str">
        <f>IF(G$5,COUNTIFS(Medications!$AN:$AN,ReportAndOutcomeHistory!$A332,Medications!$AP:$AP,1,Medications!$O:$O,1),"")</f>
        <v/>
      </c>
      <c r="H332" t="str">
        <f>IF(H$5,COUNTIFS(Medications!$AN:$AN,ReportAndOutcomeHistory!$A332,Medications!$AP:$AP,1,Medications!$O:$O,1),"")</f>
        <v/>
      </c>
      <c r="I332" t="str">
        <f>IF(I$5,COUNTIFS(Medications!$AN:$AN,ReportAndOutcomeHistory!$A332,Medications!$AP:$AP,1,Medications!$O:$O,1),"")</f>
        <v/>
      </c>
      <c r="J332" t="str">
        <f>IF(J$5,COUNTIFS(Medications!$AN:$AN,ReportAndOutcomeHistory!$A332,Medications!$AP:$AP,1,Medications!$O:$O,1),"")</f>
        <v/>
      </c>
      <c r="K332" t="str">
        <f>IF(K$5,COUNTIFS(Medications!$AN:$AN,ReportAndOutcomeHistory!$A332,Medications!$AP:$AP,1,Medications!$O:$O,1),"")</f>
        <v/>
      </c>
      <c r="L332" t="str">
        <f>IF(L$5,COUNTIFS(Medications!$AN:$AN,ReportAndOutcomeHistory!$A332,Medications!$AP:$AP,1,Medications!$O:$O,1),"")</f>
        <v/>
      </c>
      <c r="M332" t="str">
        <f>IF(M$5,COUNTIFS(Medications!$AN:$AN,ReportAndOutcomeHistory!$A332,Medications!$AP:$AP,1,Medications!$O:$O,1),"")</f>
        <v/>
      </c>
      <c r="N332" t="str">
        <f>IF(N$5,COUNTIFS(Medications!$AN:$AN,ReportAndOutcomeHistory!$A332,Medications!$AP:$AP,1,Medications!$O:$O,1),"")</f>
        <v/>
      </c>
      <c r="O332" t="str">
        <f>IF(O$5,COUNTIFS(Medications!$AN:$AN,ReportAndOutcomeHistory!$A332,Medications!$AP:$AP,1,Medications!$O:$O,1),"")</f>
        <v/>
      </c>
      <c r="P332" t="str">
        <f>IF(P$5,COUNTIFS(Medications!$AN:$AN,ReportAndOutcomeHistory!$A332,Medications!$AP:$AP,1,Medications!$O:$O,1),"")</f>
        <v/>
      </c>
      <c r="Q332" t="str">
        <f>IF(Q$5,COUNTIFS(Medications!$AN:$AN,ReportAndOutcomeHistory!$A332,Medications!$AP:$AP,1,Medications!$O:$O,1),"")</f>
        <v/>
      </c>
      <c r="R332" t="str">
        <f>IF(R$5,COUNTIFS(Medications!$AN:$AN,ReportAndOutcomeHistory!$A332,Medications!$AP:$AP,1,Medications!$O:$O,1),"")</f>
        <v/>
      </c>
    </row>
    <row r="333" spans="1:18" ht="15">
      <c r="A333" t="s">
        <v>40</v>
      </c>
      <c r="B333" t="str">
        <f>"Number of PRN "&amp;C333&amp;" tracked this month"</f>
        <v>Number of PRN Antianxiety Agents tracked this month</v>
      </c>
      <c r="C333" t="s">
        <v>101</v>
      </c>
      <c r="E333" t="s">
        <v>466</v>
      </c>
      <c r="F333" t="str">
        <f>IF(F$5,COUNTIFS(Medications!$AN:$AN,ReportAndOutcomeHistory!$A333,Medications!$AP:$AP,1,Medications!$D:$D,$C333,Medications!$O:$O,1),"")</f>
        <v/>
      </c>
      <c r="G333" t="str">
        <f>IF(G$5,COUNTIFS(Medications!$AN:$AN,ReportAndOutcomeHistory!$A333,Medications!$AP:$AP,1,Medications!$D:$D,$C333,Medications!$O:$O,1),"")</f>
        <v/>
      </c>
      <c r="H333" t="str">
        <f>IF(H$5,COUNTIFS(Medications!$AN:$AN,ReportAndOutcomeHistory!$A333,Medications!$AP:$AP,1,Medications!$D:$D,$C333,Medications!$O:$O,1),"")</f>
        <v/>
      </c>
      <c r="I333" t="str">
        <f>IF(I$5,COUNTIFS(Medications!$AN:$AN,ReportAndOutcomeHistory!$A333,Medications!$AP:$AP,1,Medications!$D:$D,$C333,Medications!$O:$O,1),"")</f>
        <v/>
      </c>
      <c r="J333" t="str">
        <f>IF(J$5,COUNTIFS(Medications!$AN:$AN,ReportAndOutcomeHistory!$A333,Medications!$AP:$AP,1,Medications!$D:$D,$C333,Medications!$O:$O,1),"")</f>
        <v/>
      </c>
      <c r="K333" t="str">
        <f>IF(K$5,COUNTIFS(Medications!$AN:$AN,ReportAndOutcomeHistory!$A333,Medications!$AP:$AP,1,Medications!$D:$D,$C333,Medications!$O:$O,1),"")</f>
        <v/>
      </c>
      <c r="L333" t="str">
        <f>IF(L$5,COUNTIFS(Medications!$AN:$AN,ReportAndOutcomeHistory!$A333,Medications!$AP:$AP,1,Medications!$D:$D,$C333,Medications!$O:$O,1),"")</f>
        <v/>
      </c>
      <c r="M333" t="str">
        <f>IF(M$5,COUNTIFS(Medications!$AN:$AN,ReportAndOutcomeHistory!$A333,Medications!$AP:$AP,1,Medications!$D:$D,$C333,Medications!$O:$O,1),"")</f>
        <v/>
      </c>
      <c r="N333" t="str">
        <f>IF(N$5,COUNTIFS(Medications!$AN:$AN,ReportAndOutcomeHistory!$A333,Medications!$AP:$AP,1,Medications!$D:$D,$C333,Medications!$O:$O,1),"")</f>
        <v/>
      </c>
      <c r="O333" t="str">
        <f>IF(O$5,COUNTIFS(Medications!$AN:$AN,ReportAndOutcomeHistory!$A333,Medications!$AP:$AP,1,Medications!$D:$D,$C333,Medications!$O:$O,1),"")</f>
        <v/>
      </c>
      <c r="P333" t="str">
        <f>IF(P$5,COUNTIFS(Medications!$AN:$AN,ReportAndOutcomeHistory!$A333,Medications!$AP:$AP,1,Medications!$D:$D,$C333,Medications!$O:$O,1),"")</f>
        <v/>
      </c>
      <c r="Q333" t="str">
        <f>IF(Q$5,COUNTIFS(Medications!$AN:$AN,ReportAndOutcomeHistory!$A333,Medications!$AP:$AP,1,Medications!$D:$D,$C333,Medications!$O:$O,1),"")</f>
        <v/>
      </c>
      <c r="R333" t="str">
        <f>IF(R$5,COUNTIFS(Medications!$AN:$AN,ReportAndOutcomeHistory!$A333,Medications!$AP:$AP,1,Medications!$D:$D,$C333,Medications!$O:$O,1),"")</f>
        <v/>
      </c>
    </row>
    <row r="334" spans="1:18" ht="15">
      <c r="A334" t="s">
        <v>40</v>
      </c>
      <c r="B334" t="str">
        <f aca="true" t="shared" si="55" ref="B334:B339">"Number of PRN "&amp;C334&amp;" tracked this month"</f>
        <v>Number of PRN Antidepressants tracked this month</v>
      </c>
      <c r="C334" t="s">
        <v>94</v>
      </c>
      <c r="E334" t="s">
        <v>466</v>
      </c>
      <c r="F334" t="str">
        <f>IF(F$5,COUNTIFS(Medications!$AN:$AN,ReportAndOutcomeHistory!$A334,Medications!$AP:$AP,1,Medications!$D:$D,$C334,Medications!$O:$O,1),"")</f>
        <v/>
      </c>
      <c r="G334" t="str">
        <f>IF(G$5,COUNTIFS(Medications!$AN:$AN,ReportAndOutcomeHistory!$A334,Medications!$AP:$AP,1,Medications!$D:$D,$C334,Medications!$O:$O,1),"")</f>
        <v/>
      </c>
      <c r="H334" t="str">
        <f>IF(H$5,COUNTIFS(Medications!$AN:$AN,ReportAndOutcomeHistory!$A334,Medications!$AP:$AP,1,Medications!$D:$D,$C334,Medications!$O:$O,1),"")</f>
        <v/>
      </c>
      <c r="I334" t="str">
        <f>IF(I$5,COUNTIFS(Medications!$AN:$AN,ReportAndOutcomeHistory!$A334,Medications!$AP:$AP,1,Medications!$D:$D,$C334,Medications!$O:$O,1),"")</f>
        <v/>
      </c>
      <c r="J334" t="str">
        <f>IF(J$5,COUNTIFS(Medications!$AN:$AN,ReportAndOutcomeHistory!$A334,Medications!$AP:$AP,1,Medications!$D:$D,$C334,Medications!$O:$O,1),"")</f>
        <v/>
      </c>
      <c r="K334" t="str">
        <f>IF(K$5,COUNTIFS(Medications!$AN:$AN,ReportAndOutcomeHistory!$A334,Medications!$AP:$AP,1,Medications!$D:$D,$C334,Medications!$O:$O,1),"")</f>
        <v/>
      </c>
      <c r="L334" t="str">
        <f>IF(L$5,COUNTIFS(Medications!$AN:$AN,ReportAndOutcomeHistory!$A334,Medications!$AP:$AP,1,Medications!$D:$D,$C334,Medications!$O:$O,1),"")</f>
        <v/>
      </c>
      <c r="M334" t="str">
        <f>IF(M$5,COUNTIFS(Medications!$AN:$AN,ReportAndOutcomeHistory!$A334,Medications!$AP:$AP,1,Medications!$D:$D,$C334,Medications!$O:$O,1),"")</f>
        <v/>
      </c>
      <c r="N334" t="str">
        <f>IF(N$5,COUNTIFS(Medications!$AN:$AN,ReportAndOutcomeHistory!$A334,Medications!$AP:$AP,1,Medications!$D:$D,$C334,Medications!$O:$O,1),"")</f>
        <v/>
      </c>
      <c r="O334" t="str">
        <f>IF(O$5,COUNTIFS(Medications!$AN:$AN,ReportAndOutcomeHistory!$A334,Medications!$AP:$AP,1,Medications!$D:$D,$C334,Medications!$O:$O,1),"")</f>
        <v/>
      </c>
      <c r="P334" t="str">
        <f>IF(P$5,COUNTIFS(Medications!$AN:$AN,ReportAndOutcomeHistory!$A334,Medications!$AP:$AP,1,Medications!$D:$D,$C334,Medications!$O:$O,1),"")</f>
        <v/>
      </c>
      <c r="Q334" t="str">
        <f>IF(Q$5,COUNTIFS(Medications!$AN:$AN,ReportAndOutcomeHistory!$A334,Medications!$AP:$AP,1,Medications!$D:$D,$C334,Medications!$O:$O,1),"")</f>
        <v/>
      </c>
      <c r="R334" t="str">
        <f>IF(R$5,COUNTIFS(Medications!$AN:$AN,ReportAndOutcomeHistory!$A334,Medications!$AP:$AP,1,Medications!$D:$D,$C334,Medications!$O:$O,1),"")</f>
        <v/>
      </c>
    </row>
    <row r="335" spans="1:18" ht="15">
      <c r="A335" t="s">
        <v>40</v>
      </c>
      <c r="B335" t="str">
        <f t="shared" si="55"/>
        <v>Number of PRN Hypnotics/Sedatives/Sleep Disorder Agents tracked this month</v>
      </c>
      <c r="C335" t="s">
        <v>106</v>
      </c>
      <c r="E335" t="s">
        <v>466</v>
      </c>
      <c r="F335" t="str">
        <f>IF(F$5,COUNTIFS(Medications!$AN:$AN,ReportAndOutcomeHistory!$A335,Medications!$AP:$AP,1,Medications!$D:$D,$C335,Medications!$O:$O,1),"")</f>
        <v/>
      </c>
      <c r="G335" t="str">
        <f>IF(G$5,COUNTIFS(Medications!$AN:$AN,ReportAndOutcomeHistory!$A335,Medications!$AP:$AP,1,Medications!$D:$D,$C335,Medications!$O:$O,1),"")</f>
        <v/>
      </c>
      <c r="H335" t="str">
        <f>IF(H$5,COUNTIFS(Medications!$AN:$AN,ReportAndOutcomeHistory!$A335,Medications!$AP:$AP,1,Medications!$D:$D,$C335,Medications!$O:$O,1),"")</f>
        <v/>
      </c>
      <c r="I335" t="str">
        <f>IF(I$5,COUNTIFS(Medications!$AN:$AN,ReportAndOutcomeHistory!$A335,Medications!$AP:$AP,1,Medications!$D:$D,$C335,Medications!$O:$O,1),"")</f>
        <v/>
      </c>
      <c r="J335" t="str">
        <f>IF(J$5,COUNTIFS(Medications!$AN:$AN,ReportAndOutcomeHistory!$A335,Medications!$AP:$AP,1,Medications!$D:$D,$C335,Medications!$O:$O,1),"")</f>
        <v/>
      </c>
      <c r="K335" t="str">
        <f>IF(K$5,COUNTIFS(Medications!$AN:$AN,ReportAndOutcomeHistory!$A335,Medications!$AP:$AP,1,Medications!$D:$D,$C335,Medications!$O:$O,1),"")</f>
        <v/>
      </c>
      <c r="L335" t="str">
        <f>IF(L$5,COUNTIFS(Medications!$AN:$AN,ReportAndOutcomeHistory!$A335,Medications!$AP:$AP,1,Medications!$D:$D,$C335,Medications!$O:$O,1),"")</f>
        <v/>
      </c>
      <c r="M335" t="str">
        <f>IF(M$5,COUNTIFS(Medications!$AN:$AN,ReportAndOutcomeHistory!$A335,Medications!$AP:$AP,1,Medications!$D:$D,$C335,Medications!$O:$O,1),"")</f>
        <v/>
      </c>
      <c r="N335" t="str">
        <f>IF(N$5,COUNTIFS(Medications!$AN:$AN,ReportAndOutcomeHistory!$A335,Medications!$AP:$AP,1,Medications!$D:$D,$C335,Medications!$O:$O,1),"")</f>
        <v/>
      </c>
      <c r="O335" t="str">
        <f>IF(O$5,COUNTIFS(Medications!$AN:$AN,ReportAndOutcomeHistory!$A335,Medications!$AP:$AP,1,Medications!$D:$D,$C335,Medications!$O:$O,1),"")</f>
        <v/>
      </c>
      <c r="P335" t="str">
        <f>IF(P$5,COUNTIFS(Medications!$AN:$AN,ReportAndOutcomeHistory!$A335,Medications!$AP:$AP,1,Medications!$D:$D,$C335,Medications!$O:$O,1),"")</f>
        <v/>
      </c>
      <c r="Q335" t="str">
        <f>IF(Q$5,COUNTIFS(Medications!$AN:$AN,ReportAndOutcomeHistory!$A335,Medications!$AP:$AP,1,Medications!$D:$D,$C335,Medications!$O:$O,1),"")</f>
        <v/>
      </c>
      <c r="R335" t="str">
        <f>IF(R$5,COUNTIFS(Medications!$AN:$AN,ReportAndOutcomeHistory!$A335,Medications!$AP:$AP,1,Medications!$D:$D,$C335,Medications!$O:$O,1),"")</f>
        <v/>
      </c>
    </row>
    <row r="336" spans="1:18" ht="15">
      <c r="A336" t="s">
        <v>40</v>
      </c>
      <c r="B336" t="str">
        <f t="shared" si="55"/>
        <v>Number of PRN Antipsychotics/Antimanic Agents tracked this month</v>
      </c>
      <c r="C336" t="s">
        <v>109</v>
      </c>
      <c r="E336" t="s">
        <v>466</v>
      </c>
      <c r="F336" t="str">
        <f>IF(F$5,COUNTIFS(Medications!$AN:$AN,ReportAndOutcomeHistory!$A336,Medications!$AP:$AP,1,Medications!$D:$D,$C336,Medications!$O:$O,1),"")</f>
        <v/>
      </c>
      <c r="G336" t="str">
        <f>IF(G$5,COUNTIFS(Medications!$AN:$AN,ReportAndOutcomeHistory!$A336,Medications!$AP:$AP,1,Medications!$D:$D,$C336,Medications!$O:$O,1),"")</f>
        <v/>
      </c>
      <c r="H336" t="str">
        <f>IF(H$5,COUNTIFS(Medications!$AN:$AN,ReportAndOutcomeHistory!$A336,Medications!$AP:$AP,1,Medications!$D:$D,$C336,Medications!$O:$O,1),"")</f>
        <v/>
      </c>
      <c r="I336" t="str">
        <f>IF(I$5,COUNTIFS(Medications!$AN:$AN,ReportAndOutcomeHistory!$A336,Medications!$AP:$AP,1,Medications!$D:$D,$C336,Medications!$O:$O,1),"")</f>
        <v/>
      </c>
      <c r="J336" t="str">
        <f>IF(J$5,COUNTIFS(Medications!$AN:$AN,ReportAndOutcomeHistory!$A336,Medications!$AP:$AP,1,Medications!$D:$D,$C336,Medications!$O:$O,1),"")</f>
        <v/>
      </c>
      <c r="K336" t="str">
        <f>IF(K$5,COUNTIFS(Medications!$AN:$AN,ReportAndOutcomeHistory!$A336,Medications!$AP:$AP,1,Medications!$D:$D,$C336,Medications!$O:$O,1),"")</f>
        <v/>
      </c>
      <c r="L336" t="str">
        <f>IF(L$5,COUNTIFS(Medications!$AN:$AN,ReportAndOutcomeHistory!$A336,Medications!$AP:$AP,1,Medications!$D:$D,$C336,Medications!$O:$O,1),"")</f>
        <v/>
      </c>
      <c r="M336" t="str">
        <f>IF(M$5,COUNTIFS(Medications!$AN:$AN,ReportAndOutcomeHistory!$A336,Medications!$AP:$AP,1,Medications!$D:$D,$C336,Medications!$O:$O,1),"")</f>
        <v/>
      </c>
      <c r="N336" t="str">
        <f>IF(N$5,COUNTIFS(Medications!$AN:$AN,ReportAndOutcomeHistory!$A336,Medications!$AP:$AP,1,Medications!$D:$D,$C336,Medications!$O:$O,1),"")</f>
        <v/>
      </c>
      <c r="O336" t="str">
        <f>IF(O$5,COUNTIFS(Medications!$AN:$AN,ReportAndOutcomeHistory!$A336,Medications!$AP:$AP,1,Medications!$D:$D,$C336,Medications!$O:$O,1),"")</f>
        <v/>
      </c>
      <c r="P336" t="str">
        <f>IF(P$5,COUNTIFS(Medications!$AN:$AN,ReportAndOutcomeHistory!$A336,Medications!$AP:$AP,1,Medications!$D:$D,$C336,Medications!$O:$O,1),"")</f>
        <v/>
      </c>
      <c r="Q336" t="str">
        <f>IF(Q$5,COUNTIFS(Medications!$AN:$AN,ReportAndOutcomeHistory!$A336,Medications!$AP:$AP,1,Medications!$D:$D,$C336,Medications!$O:$O,1),"")</f>
        <v/>
      </c>
      <c r="R336" t="str">
        <f>IF(R$5,COUNTIFS(Medications!$AN:$AN,ReportAndOutcomeHistory!$A336,Medications!$AP:$AP,1,Medications!$D:$D,$C336,Medications!$O:$O,1),"")</f>
        <v/>
      </c>
    </row>
    <row r="337" spans="1:18" ht="15">
      <c r="A337" t="s">
        <v>40</v>
      </c>
      <c r="B337" t="str">
        <f t="shared" si="55"/>
        <v>Number of PRN Psychotherapeutic And Neurological Agents - Misc. tracked this month</v>
      </c>
      <c r="C337" t="s">
        <v>164</v>
      </c>
      <c r="E337" t="s">
        <v>466</v>
      </c>
      <c r="F337" t="str">
        <f>IF(F$5,COUNTIFS(Medications!$AN:$AN,ReportAndOutcomeHistory!$A337,Medications!$AP:$AP,1,Medications!$D:$D,$C337,Medications!$O:$O,1),"")</f>
        <v/>
      </c>
      <c r="G337" t="str">
        <f>IF(G$5,COUNTIFS(Medications!$AN:$AN,ReportAndOutcomeHistory!$A337,Medications!$AP:$AP,1,Medications!$D:$D,$C337,Medications!$O:$O,1),"")</f>
        <v/>
      </c>
      <c r="H337" t="str">
        <f>IF(H$5,COUNTIFS(Medications!$AN:$AN,ReportAndOutcomeHistory!$A337,Medications!$AP:$AP,1,Medications!$D:$D,$C337,Medications!$O:$O,1),"")</f>
        <v/>
      </c>
      <c r="I337" t="str">
        <f>IF(I$5,COUNTIFS(Medications!$AN:$AN,ReportAndOutcomeHistory!$A337,Medications!$AP:$AP,1,Medications!$D:$D,$C337,Medications!$O:$O,1),"")</f>
        <v/>
      </c>
      <c r="J337" t="str">
        <f>IF(J$5,COUNTIFS(Medications!$AN:$AN,ReportAndOutcomeHistory!$A337,Medications!$AP:$AP,1,Medications!$D:$D,$C337,Medications!$O:$O,1),"")</f>
        <v/>
      </c>
      <c r="K337" t="str">
        <f>IF(K$5,COUNTIFS(Medications!$AN:$AN,ReportAndOutcomeHistory!$A337,Medications!$AP:$AP,1,Medications!$D:$D,$C337,Medications!$O:$O,1),"")</f>
        <v/>
      </c>
      <c r="L337" t="str">
        <f>IF(L$5,COUNTIFS(Medications!$AN:$AN,ReportAndOutcomeHistory!$A337,Medications!$AP:$AP,1,Medications!$D:$D,$C337,Medications!$O:$O,1),"")</f>
        <v/>
      </c>
      <c r="M337" t="str">
        <f>IF(M$5,COUNTIFS(Medications!$AN:$AN,ReportAndOutcomeHistory!$A337,Medications!$AP:$AP,1,Medications!$D:$D,$C337,Medications!$O:$O,1),"")</f>
        <v/>
      </c>
      <c r="N337" t="str">
        <f>IF(N$5,COUNTIFS(Medications!$AN:$AN,ReportAndOutcomeHistory!$A337,Medications!$AP:$AP,1,Medications!$D:$D,$C337,Medications!$O:$O,1),"")</f>
        <v/>
      </c>
      <c r="O337" t="str">
        <f>IF(O$5,COUNTIFS(Medications!$AN:$AN,ReportAndOutcomeHistory!$A337,Medications!$AP:$AP,1,Medications!$D:$D,$C337,Medications!$O:$O,1),"")</f>
        <v/>
      </c>
      <c r="P337" t="str">
        <f>IF(P$5,COUNTIFS(Medications!$AN:$AN,ReportAndOutcomeHistory!$A337,Medications!$AP:$AP,1,Medications!$D:$D,$C337,Medications!$O:$O,1),"")</f>
        <v/>
      </c>
      <c r="Q337" t="str">
        <f>IF(Q$5,COUNTIFS(Medications!$AN:$AN,ReportAndOutcomeHistory!$A337,Medications!$AP:$AP,1,Medications!$D:$D,$C337,Medications!$O:$O,1),"")</f>
        <v/>
      </c>
      <c r="R337" t="str">
        <f>IF(R$5,COUNTIFS(Medications!$AN:$AN,ReportAndOutcomeHistory!$A337,Medications!$AP:$AP,1,Medications!$D:$D,$C337,Medications!$O:$O,1),"")</f>
        <v/>
      </c>
    </row>
    <row r="338" spans="1:18" ht="15">
      <c r="A338" t="s">
        <v>40</v>
      </c>
      <c r="B338" t="str">
        <f t="shared" si="55"/>
        <v>Number of PRN Other tracked this month</v>
      </c>
      <c r="C338" t="s">
        <v>27</v>
      </c>
      <c r="E338" t="s">
        <v>466</v>
      </c>
      <c r="F338" t="str">
        <f>IF(F$5,COUNTIFS(Medications!$AN:$AN,ReportAndOutcomeHistory!$A338,Medications!$AP:$AP,1,Medications!$D:$D,$C338,Medications!$O:$O,1),"")</f>
        <v/>
      </c>
      <c r="G338" t="str">
        <f>IF(G$5,COUNTIFS(Medications!$AN:$AN,ReportAndOutcomeHistory!$A338,Medications!$AP:$AP,1,Medications!$D:$D,$C338,Medications!$O:$O,1),"")</f>
        <v/>
      </c>
      <c r="H338" t="str">
        <f>IF(H$5,COUNTIFS(Medications!$AN:$AN,ReportAndOutcomeHistory!$A338,Medications!$AP:$AP,1,Medications!$D:$D,$C338,Medications!$O:$O,1),"")</f>
        <v/>
      </c>
      <c r="I338" t="str">
        <f>IF(I$5,COUNTIFS(Medications!$AN:$AN,ReportAndOutcomeHistory!$A338,Medications!$AP:$AP,1,Medications!$D:$D,$C338,Medications!$O:$O,1),"")</f>
        <v/>
      </c>
      <c r="J338" t="str">
        <f>IF(J$5,COUNTIFS(Medications!$AN:$AN,ReportAndOutcomeHistory!$A338,Medications!$AP:$AP,1,Medications!$D:$D,$C338,Medications!$O:$O,1),"")</f>
        <v/>
      </c>
      <c r="K338" t="str">
        <f>IF(K$5,COUNTIFS(Medications!$AN:$AN,ReportAndOutcomeHistory!$A338,Medications!$AP:$AP,1,Medications!$D:$D,$C338,Medications!$O:$O,1),"")</f>
        <v/>
      </c>
      <c r="L338" t="str">
        <f>IF(L$5,COUNTIFS(Medications!$AN:$AN,ReportAndOutcomeHistory!$A338,Medications!$AP:$AP,1,Medications!$D:$D,$C338,Medications!$O:$O,1),"")</f>
        <v/>
      </c>
      <c r="M338" t="str">
        <f>IF(M$5,COUNTIFS(Medications!$AN:$AN,ReportAndOutcomeHistory!$A338,Medications!$AP:$AP,1,Medications!$D:$D,$C338,Medications!$O:$O,1),"")</f>
        <v/>
      </c>
      <c r="N338" t="str">
        <f>IF(N$5,COUNTIFS(Medications!$AN:$AN,ReportAndOutcomeHistory!$A338,Medications!$AP:$AP,1,Medications!$D:$D,$C338,Medications!$O:$O,1),"")</f>
        <v/>
      </c>
      <c r="O338" t="str">
        <f>IF(O$5,COUNTIFS(Medications!$AN:$AN,ReportAndOutcomeHistory!$A338,Medications!$AP:$AP,1,Medications!$D:$D,$C338,Medications!$O:$O,1),"")</f>
        <v/>
      </c>
      <c r="P338" t="str">
        <f>IF(P$5,COUNTIFS(Medications!$AN:$AN,ReportAndOutcomeHistory!$A338,Medications!$AP:$AP,1,Medications!$D:$D,$C338,Medications!$O:$O,1),"")</f>
        <v/>
      </c>
      <c r="Q338" t="str">
        <f>IF(Q$5,COUNTIFS(Medications!$AN:$AN,ReportAndOutcomeHistory!$A338,Medications!$AP:$AP,1,Medications!$D:$D,$C338,Medications!$O:$O,1),"")</f>
        <v/>
      </c>
      <c r="R338" t="str">
        <f>IF(R$5,COUNTIFS(Medications!$AN:$AN,ReportAndOutcomeHistory!$A338,Medications!$AP:$AP,1,Medications!$D:$D,$C338,Medications!$O:$O,1),"")</f>
        <v/>
      </c>
    </row>
    <row r="339" spans="1:18" ht="15">
      <c r="A339" t="s">
        <v>40</v>
      </c>
      <c r="B339" t="str">
        <f t="shared" si="55"/>
        <v>Number of PRN Unknown tracked this month</v>
      </c>
      <c r="C339" t="s">
        <v>405</v>
      </c>
      <c r="E339" t="s">
        <v>466</v>
      </c>
      <c r="F339" t="str">
        <f>IF(F$5,COUNTIFS(Medications!$AN:$AN,ReportAndOutcomeHistory!$A339,Medications!$AP:$AP,1,Medications!$D:$D,$C339,Medications!$O:$O,1),"")</f>
        <v/>
      </c>
      <c r="G339" t="str">
        <f>IF(G$5,COUNTIFS(Medications!$AN:$AN,ReportAndOutcomeHistory!$A339,Medications!$AP:$AP,1,Medications!$D:$D,$C339,Medications!$O:$O,1),"")</f>
        <v/>
      </c>
      <c r="H339" t="str">
        <f>IF(H$5,COUNTIFS(Medications!$AN:$AN,ReportAndOutcomeHistory!$A339,Medications!$AP:$AP,1,Medications!$D:$D,$C339,Medications!$O:$O,1),"")</f>
        <v/>
      </c>
      <c r="I339" t="str">
        <f>IF(I$5,COUNTIFS(Medications!$AN:$AN,ReportAndOutcomeHistory!$A339,Medications!$AP:$AP,1,Medications!$D:$D,$C339,Medications!$O:$O,1),"")</f>
        <v/>
      </c>
      <c r="J339" t="str">
        <f>IF(J$5,COUNTIFS(Medications!$AN:$AN,ReportAndOutcomeHistory!$A339,Medications!$AP:$AP,1,Medications!$D:$D,$C339,Medications!$O:$O,1),"")</f>
        <v/>
      </c>
      <c r="K339" t="str">
        <f>IF(K$5,COUNTIFS(Medications!$AN:$AN,ReportAndOutcomeHistory!$A339,Medications!$AP:$AP,1,Medications!$D:$D,$C339,Medications!$O:$O,1),"")</f>
        <v/>
      </c>
      <c r="L339" t="str">
        <f>IF(L$5,COUNTIFS(Medications!$AN:$AN,ReportAndOutcomeHistory!$A339,Medications!$AP:$AP,1,Medications!$D:$D,$C339,Medications!$O:$O,1),"")</f>
        <v/>
      </c>
      <c r="M339" t="str">
        <f>IF(M$5,COUNTIFS(Medications!$AN:$AN,ReportAndOutcomeHistory!$A339,Medications!$AP:$AP,1,Medications!$D:$D,$C339,Medications!$O:$O,1),"")</f>
        <v/>
      </c>
      <c r="N339" t="str">
        <f>IF(N$5,COUNTIFS(Medications!$AN:$AN,ReportAndOutcomeHistory!$A339,Medications!$AP:$AP,1,Medications!$D:$D,$C339,Medications!$O:$O,1),"")</f>
        <v/>
      </c>
      <c r="O339" t="str">
        <f>IF(O$5,COUNTIFS(Medications!$AN:$AN,ReportAndOutcomeHistory!$A339,Medications!$AP:$AP,1,Medications!$D:$D,$C339,Medications!$O:$O,1),"")</f>
        <v/>
      </c>
      <c r="P339" t="str">
        <f>IF(P$5,COUNTIFS(Medications!$AN:$AN,ReportAndOutcomeHistory!$A339,Medications!$AP:$AP,1,Medications!$D:$D,$C339,Medications!$O:$O,1),"")</f>
        <v/>
      </c>
      <c r="Q339" t="str">
        <f>IF(Q$5,COUNTIFS(Medications!$AN:$AN,ReportAndOutcomeHistory!$A339,Medications!$AP:$AP,1,Medications!$D:$D,$C339,Medications!$O:$O,1),"")</f>
        <v/>
      </c>
      <c r="R339" t="str">
        <f>IF(R$5,COUNTIFS(Medications!$AN:$AN,ReportAndOutcomeHistory!$A339,Medications!$AP:$AP,1,Medications!$D:$D,$C339,Medications!$O:$O,1),"")</f>
        <v/>
      </c>
    </row>
    <row r="340" spans="1:18" ht="15">
      <c r="A340" t="s">
        <v>40</v>
      </c>
      <c r="B340" t="str">
        <f>"Number of individuals with a psychotropic medication order with "&amp;C340&amp;" possible adverse consequences noted"</f>
        <v>Number of individuals with a psychotropic medication order with 0 possible adverse consequences noted</v>
      </c>
      <c r="C340">
        <v>0</v>
      </c>
      <c r="E340" t="s">
        <v>465</v>
      </c>
      <c r="F340" t="str">
        <f>IF(F$5,COUNTIFS(Residents!$G:$G,$A340,Residents!$ID:$ID,1,Residents!$IH:$IH,1,Residents!$IP:$IP,$C340),"")</f>
        <v/>
      </c>
      <c r="G340" t="str">
        <f>IF(G$5,COUNTIFS(Residents!$G:$G,$A340,Residents!$ID:$ID,1,Residents!$IH:$IH,1,Residents!$IP:$IP,$C340),"")</f>
        <v/>
      </c>
      <c r="H340" t="str">
        <f>IF(H$5,COUNTIFS(Residents!$G:$G,$A340,Residents!$ID:$ID,1,Residents!$IH:$IH,1,Residents!$IP:$IP,$C340),"")</f>
        <v/>
      </c>
      <c r="I340" t="str">
        <f>IF(I$5,COUNTIFS(Residents!$G:$G,$A340,Residents!$ID:$ID,1,Residents!$IH:$IH,1,Residents!$IP:$IP,$C340),"")</f>
        <v/>
      </c>
      <c r="J340" t="str">
        <f>IF(J$5,COUNTIFS(Residents!$G:$G,$A340,Residents!$ID:$ID,1,Residents!$IH:$IH,1,Residents!$IP:$IP,$C340),"")</f>
        <v/>
      </c>
      <c r="K340" t="str">
        <f>IF(K$5,COUNTIFS(Residents!$G:$G,$A340,Residents!$ID:$ID,1,Residents!$IH:$IH,1,Residents!$IP:$IP,$C340),"")</f>
        <v/>
      </c>
      <c r="L340" t="str">
        <f>IF(L$5,COUNTIFS(Residents!$G:$G,$A340,Residents!$ID:$ID,1,Residents!$IH:$IH,1,Residents!$IP:$IP,$C340),"")</f>
        <v/>
      </c>
      <c r="M340" t="str">
        <f>IF(M$5,COUNTIFS(Residents!$G:$G,$A340,Residents!$ID:$ID,1,Residents!$IH:$IH,1,Residents!$IP:$IP,$C340),"")</f>
        <v/>
      </c>
      <c r="N340" t="str">
        <f>IF(N$5,COUNTIFS(Residents!$G:$G,$A340,Residents!$ID:$ID,1,Residents!$IH:$IH,1,Residents!$IP:$IP,$C340),"")</f>
        <v/>
      </c>
      <c r="O340" t="str">
        <f>IF(O$5,COUNTIFS(Residents!$G:$G,$A340,Residents!$ID:$ID,1,Residents!$IH:$IH,1,Residents!$IP:$IP,$C340),"")</f>
        <v/>
      </c>
      <c r="P340" t="str">
        <f>IF(P$5,COUNTIFS(Residents!$G:$G,$A340,Residents!$ID:$ID,1,Residents!$IH:$IH,1,Residents!$IP:$IP,$C340),"")</f>
        <v/>
      </c>
      <c r="Q340" t="str">
        <f>IF(Q$5,COUNTIFS(Residents!$G:$G,$A340,Residents!$ID:$ID,1,Residents!$IH:$IH,1,Residents!$IP:$IP,$C340),"")</f>
        <v/>
      </c>
      <c r="R340" t="str">
        <f>IF(R$5,COUNTIFS(Residents!$G:$G,$A340,Residents!$ID:$ID,1,Residents!$IH:$IH,1,Residents!$IP:$IP,$C340),"")</f>
        <v/>
      </c>
    </row>
    <row r="341" spans="1:18" ht="15">
      <c r="A341" t="s">
        <v>40</v>
      </c>
      <c r="B341" t="str">
        <f>"Number of individuals with a psychotropic medication order with "&amp;C341&amp;" possible adverse consequences noted"</f>
        <v>Number of individuals with a psychotropic medication order with 1 possible adverse consequences noted</v>
      </c>
      <c r="C341">
        <v>1</v>
      </c>
      <c r="E341" t="s">
        <v>465</v>
      </c>
      <c r="F341" t="str">
        <f>IF(F$5,COUNTIFS(Residents!$G:$G,$A341,Residents!$ID:$ID,1,Residents!$IH:$IH,1,Residents!$IP:$IP,$C341),"")</f>
        <v/>
      </c>
      <c r="G341" t="str">
        <f>IF(G$5,COUNTIFS(Residents!$G:$G,$A341,Residents!$ID:$ID,1,Residents!$IH:$IH,1,Residents!$IP:$IP,$C341),"")</f>
        <v/>
      </c>
      <c r="H341" t="str">
        <f>IF(H$5,COUNTIFS(Residents!$G:$G,$A341,Residents!$ID:$ID,1,Residents!$IH:$IH,1,Residents!$IP:$IP,$C341),"")</f>
        <v/>
      </c>
      <c r="I341" t="str">
        <f>IF(I$5,COUNTIFS(Residents!$G:$G,$A341,Residents!$ID:$ID,1,Residents!$IH:$IH,1,Residents!$IP:$IP,$C341),"")</f>
        <v/>
      </c>
      <c r="J341" t="str">
        <f>IF(J$5,COUNTIFS(Residents!$G:$G,$A341,Residents!$ID:$ID,1,Residents!$IH:$IH,1,Residents!$IP:$IP,$C341),"")</f>
        <v/>
      </c>
      <c r="K341" t="str">
        <f>IF(K$5,COUNTIFS(Residents!$G:$G,$A341,Residents!$ID:$ID,1,Residents!$IH:$IH,1,Residents!$IP:$IP,$C341),"")</f>
        <v/>
      </c>
      <c r="L341" t="str">
        <f>IF(L$5,COUNTIFS(Residents!$G:$G,$A341,Residents!$ID:$ID,1,Residents!$IH:$IH,1,Residents!$IP:$IP,$C341),"")</f>
        <v/>
      </c>
      <c r="M341" t="str">
        <f>IF(M$5,COUNTIFS(Residents!$G:$G,$A341,Residents!$ID:$ID,1,Residents!$IH:$IH,1,Residents!$IP:$IP,$C341),"")</f>
        <v/>
      </c>
      <c r="N341" t="str">
        <f>IF(N$5,COUNTIFS(Residents!$G:$G,$A341,Residents!$ID:$ID,1,Residents!$IH:$IH,1,Residents!$IP:$IP,$C341),"")</f>
        <v/>
      </c>
      <c r="O341" t="str">
        <f>IF(O$5,COUNTIFS(Residents!$G:$G,$A341,Residents!$ID:$ID,1,Residents!$IH:$IH,1,Residents!$IP:$IP,$C341),"")</f>
        <v/>
      </c>
      <c r="P341" t="str">
        <f>IF(P$5,COUNTIFS(Residents!$G:$G,$A341,Residents!$ID:$ID,1,Residents!$IH:$IH,1,Residents!$IP:$IP,$C341),"")</f>
        <v/>
      </c>
      <c r="Q341" t="str">
        <f>IF(Q$5,COUNTIFS(Residents!$G:$G,$A341,Residents!$ID:$ID,1,Residents!$IH:$IH,1,Residents!$IP:$IP,$C341),"")</f>
        <v/>
      </c>
      <c r="R341" t="str">
        <f>IF(R$5,COUNTIFS(Residents!$G:$G,$A341,Residents!$ID:$ID,1,Residents!$IH:$IH,1,Residents!$IP:$IP,$C341),"")</f>
        <v/>
      </c>
    </row>
    <row r="342" spans="1:18" ht="15">
      <c r="A342" t="s">
        <v>40</v>
      </c>
      <c r="B342" t="str">
        <f>"Number of individuals with a psychotropic medication order with "&amp;C342&amp;" possible adverse consequences noted"</f>
        <v>Number of individuals with a psychotropic medication order with 2 possible adverse consequences noted</v>
      </c>
      <c r="C342">
        <v>2</v>
      </c>
      <c r="E342" t="s">
        <v>465</v>
      </c>
      <c r="F342" t="str">
        <f>IF(F$5,COUNTIFS(Residents!$G:$G,$A342,Residents!$ID:$ID,1,Residents!$IH:$IH,1,Residents!$IP:$IP,$C342),"")</f>
        <v/>
      </c>
      <c r="G342" t="str">
        <f>IF(G$5,COUNTIFS(Residents!$G:$G,$A342,Residents!$ID:$ID,1,Residents!$IH:$IH,1,Residents!$IP:$IP,$C342),"")</f>
        <v/>
      </c>
      <c r="H342" t="str">
        <f>IF(H$5,COUNTIFS(Residents!$G:$G,$A342,Residents!$ID:$ID,1,Residents!$IH:$IH,1,Residents!$IP:$IP,$C342),"")</f>
        <v/>
      </c>
      <c r="I342" t="str">
        <f>IF(I$5,COUNTIFS(Residents!$G:$G,$A342,Residents!$ID:$ID,1,Residents!$IH:$IH,1,Residents!$IP:$IP,$C342),"")</f>
        <v/>
      </c>
      <c r="J342" t="str">
        <f>IF(J$5,COUNTIFS(Residents!$G:$G,$A342,Residents!$ID:$ID,1,Residents!$IH:$IH,1,Residents!$IP:$IP,$C342),"")</f>
        <v/>
      </c>
      <c r="K342" t="str">
        <f>IF(K$5,COUNTIFS(Residents!$G:$G,$A342,Residents!$ID:$ID,1,Residents!$IH:$IH,1,Residents!$IP:$IP,$C342),"")</f>
        <v/>
      </c>
      <c r="L342" t="str">
        <f>IF(L$5,COUNTIFS(Residents!$G:$G,$A342,Residents!$ID:$ID,1,Residents!$IH:$IH,1,Residents!$IP:$IP,$C342),"")</f>
        <v/>
      </c>
      <c r="M342" t="str">
        <f>IF(M$5,COUNTIFS(Residents!$G:$G,$A342,Residents!$ID:$ID,1,Residents!$IH:$IH,1,Residents!$IP:$IP,$C342),"")</f>
        <v/>
      </c>
      <c r="N342" t="str">
        <f>IF(N$5,COUNTIFS(Residents!$G:$G,$A342,Residents!$ID:$ID,1,Residents!$IH:$IH,1,Residents!$IP:$IP,$C342),"")</f>
        <v/>
      </c>
      <c r="O342" t="str">
        <f>IF(O$5,COUNTIFS(Residents!$G:$G,$A342,Residents!$ID:$ID,1,Residents!$IH:$IH,1,Residents!$IP:$IP,$C342),"")</f>
        <v/>
      </c>
      <c r="P342" t="str">
        <f>IF(P$5,COUNTIFS(Residents!$G:$G,$A342,Residents!$ID:$ID,1,Residents!$IH:$IH,1,Residents!$IP:$IP,$C342),"")</f>
        <v/>
      </c>
      <c r="Q342" t="str">
        <f>IF(Q$5,COUNTIFS(Residents!$G:$G,$A342,Residents!$ID:$ID,1,Residents!$IH:$IH,1,Residents!$IP:$IP,$C342),"")</f>
        <v/>
      </c>
      <c r="R342" t="str">
        <f>IF(R$5,COUNTIFS(Residents!$G:$G,$A342,Residents!$ID:$ID,1,Residents!$IH:$IH,1,Residents!$IP:$IP,$C342),"")</f>
        <v/>
      </c>
    </row>
    <row r="343" spans="1:18" ht="15">
      <c r="A343" t="s">
        <v>40</v>
      </c>
      <c r="B343" t="str">
        <f>"Number of individuals with a psychotropic medication order with "&amp;C343&amp;" possible adverse consequences noted"</f>
        <v>Number of individuals with a psychotropic medication order with 3 possible adverse consequences noted</v>
      </c>
      <c r="C343">
        <v>3</v>
      </c>
      <c r="E343" t="s">
        <v>465</v>
      </c>
      <c r="F343" t="str">
        <f>IF(F$5,COUNTIFS(Residents!$G:$G,$A343,Residents!$ID:$ID,1,Residents!$IH:$IH,1,Residents!$IP:$IP,$C343),"")</f>
        <v/>
      </c>
      <c r="G343" t="str">
        <f>IF(G$5,COUNTIFS(Residents!$G:$G,$A343,Residents!$ID:$ID,1,Residents!$IH:$IH,1,Residents!$IP:$IP,$C343),"")</f>
        <v/>
      </c>
      <c r="H343" t="str">
        <f>IF(H$5,COUNTIFS(Residents!$G:$G,$A343,Residents!$ID:$ID,1,Residents!$IH:$IH,1,Residents!$IP:$IP,$C343),"")</f>
        <v/>
      </c>
      <c r="I343" t="str">
        <f>IF(I$5,COUNTIFS(Residents!$G:$G,$A343,Residents!$ID:$ID,1,Residents!$IH:$IH,1,Residents!$IP:$IP,$C343),"")</f>
        <v/>
      </c>
      <c r="J343" t="str">
        <f>IF(J$5,COUNTIFS(Residents!$G:$G,$A343,Residents!$ID:$ID,1,Residents!$IH:$IH,1,Residents!$IP:$IP,$C343),"")</f>
        <v/>
      </c>
      <c r="K343" t="str">
        <f>IF(K$5,COUNTIFS(Residents!$G:$G,$A343,Residents!$ID:$ID,1,Residents!$IH:$IH,1,Residents!$IP:$IP,$C343),"")</f>
        <v/>
      </c>
      <c r="L343" t="str">
        <f>IF(L$5,COUNTIFS(Residents!$G:$G,$A343,Residents!$ID:$ID,1,Residents!$IH:$IH,1,Residents!$IP:$IP,$C343),"")</f>
        <v/>
      </c>
      <c r="M343" t="str">
        <f>IF(M$5,COUNTIFS(Residents!$G:$G,$A343,Residents!$ID:$ID,1,Residents!$IH:$IH,1,Residents!$IP:$IP,$C343),"")</f>
        <v/>
      </c>
      <c r="N343" t="str">
        <f>IF(N$5,COUNTIFS(Residents!$G:$G,$A343,Residents!$ID:$ID,1,Residents!$IH:$IH,1,Residents!$IP:$IP,$C343),"")</f>
        <v/>
      </c>
      <c r="O343" t="str">
        <f>IF(O$5,COUNTIFS(Residents!$G:$G,$A343,Residents!$ID:$ID,1,Residents!$IH:$IH,1,Residents!$IP:$IP,$C343),"")</f>
        <v/>
      </c>
      <c r="P343" t="str">
        <f>IF(P$5,COUNTIFS(Residents!$G:$G,$A343,Residents!$ID:$ID,1,Residents!$IH:$IH,1,Residents!$IP:$IP,$C343),"")</f>
        <v/>
      </c>
      <c r="Q343" t="str">
        <f>IF(Q$5,COUNTIFS(Residents!$G:$G,$A343,Residents!$ID:$ID,1,Residents!$IH:$IH,1,Residents!$IP:$IP,$C343),"")</f>
        <v/>
      </c>
      <c r="R343" t="str">
        <f>IF(R$5,COUNTIFS(Residents!$G:$G,$A343,Residents!$ID:$ID,1,Residents!$IH:$IH,1,Residents!$IP:$IP,$C343),"")</f>
        <v/>
      </c>
    </row>
    <row r="344" spans="1:18" ht="15">
      <c r="A344" t="s">
        <v>40</v>
      </c>
      <c r="B344" t="str">
        <f>"Number of individuals with a psychotropic medication order with "&amp;C344&amp;" possible adverse consequences noted"</f>
        <v>Number of individuals with a psychotropic medication order with &gt;=4 possible adverse consequences noted</v>
      </c>
      <c r="C344" t="s">
        <v>869</v>
      </c>
      <c r="E344" t="s">
        <v>465</v>
      </c>
      <c r="F344" t="str">
        <f>IF(F$5,COUNTIFS(Residents!$G:$G,$A344,Residents!$ID:$ID,1,Residents!$IH:$IH,1,Residents!$IP:$IP,$C344),"")</f>
        <v/>
      </c>
      <c r="G344" t="str">
        <f>IF(G$5,COUNTIFS(Residents!$G:$G,$A344,Residents!$ID:$ID,1,Residents!$IH:$IH,1,Residents!$IP:$IP,$C344),"")</f>
        <v/>
      </c>
      <c r="H344" t="str">
        <f>IF(H$5,COUNTIFS(Residents!$G:$G,$A344,Residents!$ID:$ID,1,Residents!$IH:$IH,1,Residents!$IP:$IP,$C344),"")</f>
        <v/>
      </c>
      <c r="I344" t="str">
        <f>IF(I$5,COUNTIFS(Residents!$G:$G,$A344,Residents!$ID:$ID,1,Residents!$IH:$IH,1,Residents!$IP:$IP,$C344),"")</f>
        <v/>
      </c>
      <c r="J344" t="str">
        <f>IF(J$5,COUNTIFS(Residents!$G:$G,$A344,Residents!$ID:$ID,1,Residents!$IH:$IH,1,Residents!$IP:$IP,$C344),"")</f>
        <v/>
      </c>
      <c r="K344" t="str">
        <f>IF(K$5,COUNTIFS(Residents!$G:$G,$A344,Residents!$ID:$ID,1,Residents!$IH:$IH,1,Residents!$IP:$IP,$C344),"")</f>
        <v/>
      </c>
      <c r="L344" t="str">
        <f>IF(L$5,COUNTIFS(Residents!$G:$G,$A344,Residents!$ID:$ID,1,Residents!$IH:$IH,1,Residents!$IP:$IP,$C344),"")</f>
        <v/>
      </c>
      <c r="M344" t="str">
        <f>IF(M$5,COUNTIFS(Residents!$G:$G,$A344,Residents!$ID:$ID,1,Residents!$IH:$IH,1,Residents!$IP:$IP,$C344),"")</f>
        <v/>
      </c>
      <c r="N344" t="str">
        <f>IF(N$5,COUNTIFS(Residents!$G:$G,$A344,Residents!$ID:$ID,1,Residents!$IH:$IH,1,Residents!$IP:$IP,$C344),"")</f>
        <v/>
      </c>
      <c r="O344" t="str">
        <f>IF(O$5,COUNTIFS(Residents!$G:$G,$A344,Residents!$ID:$ID,1,Residents!$IH:$IH,1,Residents!$IP:$IP,$C344),"")</f>
        <v/>
      </c>
      <c r="P344" t="str">
        <f>IF(P$5,COUNTIFS(Residents!$G:$G,$A344,Residents!$ID:$ID,1,Residents!$IH:$IH,1,Residents!$IP:$IP,$C344),"")</f>
        <v/>
      </c>
      <c r="Q344" t="str">
        <f>IF(Q$5,COUNTIFS(Residents!$G:$G,$A344,Residents!$ID:$ID,1,Residents!$IH:$IH,1,Residents!$IP:$IP,$C344),"")</f>
        <v/>
      </c>
      <c r="R344" t="str">
        <f>IF(R$5,COUNTIFS(Residents!$G:$G,$A344,Residents!$ID:$ID,1,Residents!$IH:$IH,1,Residents!$IP:$IP,$C344),"")</f>
        <v/>
      </c>
    </row>
    <row r="345" spans="1:18" ht="15">
      <c r="A345" t="s">
        <v>40</v>
      </c>
      <c r="B345" t="str">
        <f>"Number of individuals living with "&amp;C345&amp;" dementia"</f>
        <v>Number of individuals living with ALZHEIMERS dementia</v>
      </c>
      <c r="C345" t="s">
        <v>854</v>
      </c>
      <c r="E345" t="s">
        <v>465</v>
      </c>
      <c r="F345" t="str">
        <f>IF(F$5,COUNTIFS(Residents!$G:$G,$A345,Residents!$ID:$ID,1,Residents!$K:$K,$C345),"")</f>
        <v/>
      </c>
      <c r="G345" t="str">
        <f>IF(G$5,COUNTIFS(Residents!$G:$G,$A345,Residents!$ID:$ID,1,Residents!$K:$K,$C345),"")</f>
        <v/>
      </c>
      <c r="H345" t="str">
        <f>IF(H$5,COUNTIFS(Residents!$G:$G,$A345,Residents!$ID:$ID,1,Residents!$K:$K,$C345),"")</f>
        <v/>
      </c>
      <c r="I345" t="str">
        <f>IF(I$5,COUNTIFS(Residents!$G:$G,$A345,Residents!$ID:$ID,1,Residents!$K:$K,$C345),"")</f>
        <v/>
      </c>
      <c r="J345" t="str">
        <f>IF(J$5,COUNTIFS(Residents!$G:$G,$A345,Residents!$ID:$ID,1,Residents!$K:$K,$C345),"")</f>
        <v/>
      </c>
      <c r="K345" t="str">
        <f>IF(K$5,COUNTIFS(Residents!$G:$G,$A345,Residents!$ID:$ID,1,Residents!$K:$K,$C345),"")</f>
        <v/>
      </c>
      <c r="L345" t="str">
        <f>IF(L$5,COUNTIFS(Residents!$G:$G,$A345,Residents!$ID:$ID,1,Residents!$K:$K,$C345),"")</f>
        <v/>
      </c>
      <c r="M345" t="str">
        <f>IF(M$5,COUNTIFS(Residents!$G:$G,$A345,Residents!$ID:$ID,1,Residents!$K:$K,$C345),"")</f>
        <v/>
      </c>
      <c r="N345" t="str">
        <f>IF(N$5,COUNTIFS(Residents!$G:$G,$A345,Residents!$ID:$ID,1,Residents!$K:$K,$C345),"")</f>
        <v/>
      </c>
      <c r="O345" t="str">
        <f>IF(O$5,COUNTIFS(Residents!$G:$G,$A345,Residents!$ID:$ID,1,Residents!$K:$K,$C345),"")</f>
        <v/>
      </c>
      <c r="P345" t="str">
        <f>IF(P$5,COUNTIFS(Residents!$G:$G,$A345,Residents!$ID:$ID,1,Residents!$K:$K,$C345),"")</f>
        <v/>
      </c>
      <c r="Q345" t="str">
        <f>IF(Q$5,COUNTIFS(Residents!$G:$G,$A345,Residents!$ID:$ID,1,Residents!$K:$K,$C345),"")</f>
        <v/>
      </c>
      <c r="R345" t="str">
        <f>IF(R$5,COUNTIFS(Residents!$G:$G,$A345,Residents!$ID:$ID,1,Residents!$K:$K,$C345),"")</f>
        <v/>
      </c>
    </row>
    <row r="346" spans="1:18" ht="15">
      <c r="A346" t="s">
        <v>40</v>
      </c>
      <c r="B346" t="str">
        <f>"Number of individuals living with "&amp;C346&amp;" dementia"</f>
        <v>Number of individuals living with VASCULAR dementia</v>
      </c>
      <c r="C346" t="s">
        <v>856</v>
      </c>
      <c r="E346" t="s">
        <v>465</v>
      </c>
      <c r="F346" t="str">
        <f>IF(F$5,COUNTIFS(Residents!$G:$G,$A346,Residents!$ID:$ID,1,Residents!$K:$K,$C346),"")</f>
        <v/>
      </c>
      <c r="G346" t="str">
        <f>IF(G$5,COUNTIFS(Residents!$G:$G,$A346,Residents!$ID:$ID,1,Residents!$K:$K,$C346),"")</f>
        <v/>
      </c>
      <c r="H346" t="str">
        <f>IF(H$5,COUNTIFS(Residents!$G:$G,$A346,Residents!$ID:$ID,1,Residents!$K:$K,$C346),"")</f>
        <v/>
      </c>
      <c r="I346" t="str">
        <f>IF(I$5,COUNTIFS(Residents!$G:$G,$A346,Residents!$ID:$ID,1,Residents!$K:$K,$C346),"")</f>
        <v/>
      </c>
      <c r="J346" t="str">
        <f>IF(J$5,COUNTIFS(Residents!$G:$G,$A346,Residents!$ID:$ID,1,Residents!$K:$K,$C346),"")</f>
        <v/>
      </c>
      <c r="K346" t="str">
        <f>IF(K$5,COUNTIFS(Residents!$G:$G,$A346,Residents!$ID:$ID,1,Residents!$K:$K,$C346),"")</f>
        <v/>
      </c>
      <c r="L346" t="str">
        <f>IF(L$5,COUNTIFS(Residents!$G:$G,$A346,Residents!$ID:$ID,1,Residents!$K:$K,$C346),"")</f>
        <v/>
      </c>
      <c r="M346" t="str">
        <f>IF(M$5,COUNTIFS(Residents!$G:$G,$A346,Residents!$ID:$ID,1,Residents!$K:$K,$C346),"")</f>
        <v/>
      </c>
      <c r="N346" t="str">
        <f>IF(N$5,COUNTIFS(Residents!$G:$G,$A346,Residents!$ID:$ID,1,Residents!$K:$K,$C346),"")</f>
        <v/>
      </c>
      <c r="O346" t="str">
        <f>IF(O$5,COUNTIFS(Residents!$G:$G,$A346,Residents!$ID:$ID,1,Residents!$K:$K,$C346),"")</f>
        <v/>
      </c>
      <c r="P346" t="str">
        <f>IF(P$5,COUNTIFS(Residents!$G:$G,$A346,Residents!$ID:$ID,1,Residents!$K:$K,$C346),"")</f>
        <v/>
      </c>
      <c r="Q346" t="str">
        <f>IF(Q$5,COUNTIFS(Residents!$G:$G,$A346,Residents!$ID:$ID,1,Residents!$K:$K,$C346),"")</f>
        <v/>
      </c>
      <c r="R346" t="str">
        <f>IF(R$5,COUNTIFS(Residents!$G:$G,$A346,Residents!$ID:$ID,1,Residents!$K:$K,$C346),"")</f>
        <v/>
      </c>
    </row>
    <row r="347" spans="1:18" ht="15">
      <c r="A347" t="s">
        <v>40</v>
      </c>
      <c r="B347" t="str">
        <f>"Number of individuals living with "&amp;C347&amp;" dementia"</f>
        <v>Number of individuals living with LEWY BODIES dementia</v>
      </c>
      <c r="C347" t="s">
        <v>870</v>
      </c>
      <c r="E347" t="s">
        <v>465</v>
      </c>
      <c r="F347" t="str">
        <f>IF(F$5,COUNTIFS(Residents!$G:$G,$A347,Residents!$ID:$ID,1,Residents!$K:$K,$C347),"")</f>
        <v/>
      </c>
      <c r="G347" t="str">
        <f>IF(G$5,COUNTIFS(Residents!$G:$G,$A347,Residents!$ID:$ID,1,Residents!$K:$K,$C347),"")</f>
        <v/>
      </c>
      <c r="H347" t="str">
        <f>IF(H$5,COUNTIFS(Residents!$G:$G,$A347,Residents!$ID:$ID,1,Residents!$K:$K,$C347),"")</f>
        <v/>
      </c>
      <c r="I347" t="str">
        <f>IF(I$5,COUNTIFS(Residents!$G:$G,$A347,Residents!$ID:$ID,1,Residents!$K:$K,$C347),"")</f>
        <v/>
      </c>
      <c r="J347" t="str">
        <f>IF(J$5,COUNTIFS(Residents!$G:$G,$A347,Residents!$ID:$ID,1,Residents!$K:$K,$C347),"")</f>
        <v/>
      </c>
      <c r="K347" t="str">
        <f>IF(K$5,COUNTIFS(Residents!$G:$G,$A347,Residents!$ID:$ID,1,Residents!$K:$K,$C347),"")</f>
        <v/>
      </c>
      <c r="L347" t="str">
        <f>IF(L$5,COUNTIFS(Residents!$G:$G,$A347,Residents!$ID:$ID,1,Residents!$K:$K,$C347),"")</f>
        <v/>
      </c>
      <c r="M347" t="str">
        <f>IF(M$5,COUNTIFS(Residents!$G:$G,$A347,Residents!$ID:$ID,1,Residents!$K:$K,$C347),"")</f>
        <v/>
      </c>
      <c r="N347" t="str">
        <f>IF(N$5,COUNTIFS(Residents!$G:$G,$A347,Residents!$ID:$ID,1,Residents!$K:$K,$C347),"")</f>
        <v/>
      </c>
      <c r="O347" t="str">
        <f>IF(O$5,COUNTIFS(Residents!$G:$G,$A347,Residents!$ID:$ID,1,Residents!$K:$K,$C347),"")</f>
        <v/>
      </c>
      <c r="P347" t="str">
        <f>IF(P$5,COUNTIFS(Residents!$G:$G,$A347,Residents!$ID:$ID,1,Residents!$K:$K,$C347),"")</f>
        <v/>
      </c>
      <c r="Q347" t="str">
        <f>IF(Q$5,COUNTIFS(Residents!$G:$G,$A347,Residents!$ID:$ID,1,Residents!$K:$K,$C347),"")</f>
        <v/>
      </c>
      <c r="R347" t="str">
        <f>IF(R$5,COUNTIFS(Residents!$G:$G,$A347,Residents!$ID:$ID,1,Residents!$K:$K,$C347),"")</f>
        <v/>
      </c>
    </row>
    <row r="348" spans="1:18" ht="15">
      <c r="A348" t="s">
        <v>40</v>
      </c>
      <c r="B348" t="str">
        <f>"Number of individuals living with "&amp;C348&amp;" dementia"</f>
        <v>Number of individuals living with MIXED dementia</v>
      </c>
      <c r="C348" t="s">
        <v>855</v>
      </c>
      <c r="E348" t="s">
        <v>465</v>
      </c>
      <c r="F348" t="str">
        <f>IF(F$5,COUNTIFS(Residents!$G:$G,$A348,Residents!$ID:$ID,1,Residents!$K:$K,$C348),"")</f>
        <v/>
      </c>
      <c r="G348" t="str">
        <f>IF(G$5,COUNTIFS(Residents!$G:$G,$A348,Residents!$ID:$ID,1,Residents!$K:$K,$C348),"")</f>
        <v/>
      </c>
      <c r="H348" t="str">
        <f>IF(H$5,COUNTIFS(Residents!$G:$G,$A348,Residents!$ID:$ID,1,Residents!$K:$K,$C348),"")</f>
        <v/>
      </c>
      <c r="I348" t="str">
        <f>IF(I$5,COUNTIFS(Residents!$G:$G,$A348,Residents!$ID:$ID,1,Residents!$K:$K,$C348),"")</f>
        <v/>
      </c>
      <c r="J348" t="str">
        <f>IF(J$5,COUNTIFS(Residents!$G:$G,$A348,Residents!$ID:$ID,1,Residents!$K:$K,$C348),"")</f>
        <v/>
      </c>
      <c r="K348" t="str">
        <f>IF(K$5,COUNTIFS(Residents!$G:$G,$A348,Residents!$ID:$ID,1,Residents!$K:$K,$C348),"")</f>
        <v/>
      </c>
      <c r="L348" t="str">
        <f>IF(L$5,COUNTIFS(Residents!$G:$G,$A348,Residents!$ID:$ID,1,Residents!$K:$K,$C348),"")</f>
        <v/>
      </c>
      <c r="M348" t="str">
        <f>IF(M$5,COUNTIFS(Residents!$G:$G,$A348,Residents!$ID:$ID,1,Residents!$K:$K,$C348),"")</f>
        <v/>
      </c>
      <c r="N348" t="str">
        <f>IF(N$5,COUNTIFS(Residents!$G:$G,$A348,Residents!$ID:$ID,1,Residents!$K:$K,$C348),"")</f>
        <v/>
      </c>
      <c r="O348" t="str">
        <f>IF(O$5,COUNTIFS(Residents!$G:$G,$A348,Residents!$ID:$ID,1,Residents!$K:$K,$C348),"")</f>
        <v/>
      </c>
      <c r="P348" t="str">
        <f>IF(P$5,COUNTIFS(Residents!$G:$G,$A348,Residents!$ID:$ID,1,Residents!$K:$K,$C348),"")</f>
        <v/>
      </c>
      <c r="Q348" t="str">
        <f>IF(Q$5,COUNTIFS(Residents!$G:$G,$A348,Residents!$ID:$ID,1,Residents!$K:$K,$C348),"")</f>
        <v/>
      </c>
      <c r="R348" t="str">
        <f>IF(R$5,COUNTIFS(Residents!$G:$G,$A348,Residents!$ID:$ID,1,Residents!$K:$K,$C348),"")</f>
        <v/>
      </c>
    </row>
    <row r="349" spans="1:18" ht="15">
      <c r="A349" t="s">
        <v>40</v>
      </c>
      <c r="B349" t="str">
        <f>"Number of individuals living with "&amp;C349&amp;" dementia"</f>
        <v>Number of individuals living with OTHER dementia</v>
      </c>
      <c r="C349" t="s">
        <v>871</v>
      </c>
      <c r="E349" t="s">
        <v>465</v>
      </c>
      <c r="F349" t="str">
        <f>IF(F$5,COUNTIFS(Residents!$G:$G,$A349,Residents!$ID:$ID,1,Residents!$K:$K,$C349),"")</f>
        <v/>
      </c>
      <c r="G349" t="str">
        <f>IF(G$5,COUNTIFS(Residents!$G:$G,$A349,Residents!$ID:$ID,1,Residents!$K:$K,$C349),"")</f>
        <v/>
      </c>
      <c r="H349" t="str">
        <f>IF(H$5,COUNTIFS(Residents!$G:$G,$A349,Residents!$ID:$ID,1,Residents!$K:$K,$C349),"")</f>
        <v/>
      </c>
      <c r="I349" t="str">
        <f>IF(I$5,COUNTIFS(Residents!$G:$G,$A349,Residents!$ID:$ID,1,Residents!$K:$K,$C349),"")</f>
        <v/>
      </c>
      <c r="J349" t="str">
        <f>IF(J$5,COUNTIFS(Residents!$G:$G,$A349,Residents!$ID:$ID,1,Residents!$K:$K,$C349),"")</f>
        <v/>
      </c>
      <c r="K349" t="str">
        <f>IF(K$5,COUNTIFS(Residents!$G:$G,$A349,Residents!$ID:$ID,1,Residents!$K:$K,$C349),"")</f>
        <v/>
      </c>
      <c r="L349" t="str">
        <f>IF(L$5,COUNTIFS(Residents!$G:$G,$A349,Residents!$ID:$ID,1,Residents!$K:$K,$C349),"")</f>
        <v/>
      </c>
      <c r="M349" t="str">
        <f>IF(M$5,COUNTIFS(Residents!$G:$G,$A349,Residents!$ID:$ID,1,Residents!$K:$K,$C349),"")</f>
        <v/>
      </c>
      <c r="N349" t="str">
        <f>IF(N$5,COUNTIFS(Residents!$G:$G,$A349,Residents!$ID:$ID,1,Residents!$K:$K,$C349),"")</f>
        <v/>
      </c>
      <c r="O349" t="str">
        <f>IF(O$5,COUNTIFS(Residents!$G:$G,$A349,Residents!$ID:$ID,1,Residents!$K:$K,$C349),"")</f>
        <v/>
      </c>
      <c r="P349" t="str">
        <f>IF(P$5,COUNTIFS(Residents!$G:$G,$A349,Residents!$ID:$ID,1,Residents!$K:$K,$C349),"")</f>
        <v/>
      </c>
      <c r="Q349" t="str">
        <f>IF(Q$5,COUNTIFS(Residents!$G:$G,$A349,Residents!$ID:$ID,1,Residents!$K:$K,$C349),"")</f>
        <v/>
      </c>
      <c r="R349" t="str">
        <f>IF(R$5,COUNTIFS(Residents!$G:$G,$A349,Residents!$ID:$ID,1,Residents!$K:$K,$C349),"")</f>
        <v/>
      </c>
    </row>
    <row r="350" spans="1:18" ht="15">
      <c r="A350" t="s">
        <v>40</v>
      </c>
      <c r="B350" t="str">
        <f>"Number of individuals living with "&amp;C350&amp;" dementia with at least one psychotropic medication order"</f>
        <v>Number of individuals living with ALZHEIMERS dementia with at least one psychotropic medication order</v>
      </c>
      <c r="C350" t="s">
        <v>854</v>
      </c>
      <c r="E350" t="s">
        <v>465</v>
      </c>
      <c r="F350" t="str">
        <f>IF(F$5,COUNTIFS(Residents!$G:$G,$A350,Residents!$ID:$ID,1,Residents!$K:$K,$C350,Residents!$IH:$IH,1),"")</f>
        <v/>
      </c>
      <c r="G350" t="str">
        <f>IF(G$5,COUNTIFS(Residents!$G:$G,$A350,Residents!$ID:$ID,1,Residents!$K:$K,$C350,Residents!$IH:$IH,1),"")</f>
        <v/>
      </c>
      <c r="H350" t="str">
        <f>IF(H$5,COUNTIFS(Residents!$G:$G,$A350,Residents!$ID:$ID,1,Residents!$K:$K,$C350,Residents!$IH:$IH,1),"")</f>
        <v/>
      </c>
      <c r="I350" t="str">
        <f>IF(I$5,COUNTIFS(Residents!$G:$G,$A350,Residents!$ID:$ID,1,Residents!$K:$K,$C350,Residents!$IH:$IH,1),"")</f>
        <v/>
      </c>
      <c r="J350" t="str">
        <f>IF(J$5,COUNTIFS(Residents!$G:$G,$A350,Residents!$ID:$ID,1,Residents!$K:$K,$C350,Residents!$IH:$IH,1),"")</f>
        <v/>
      </c>
      <c r="K350" t="str">
        <f>IF(K$5,COUNTIFS(Residents!$G:$G,$A350,Residents!$ID:$ID,1,Residents!$K:$K,$C350,Residents!$IH:$IH,1),"")</f>
        <v/>
      </c>
      <c r="L350" t="str">
        <f>IF(L$5,COUNTIFS(Residents!$G:$G,$A350,Residents!$ID:$ID,1,Residents!$K:$K,$C350,Residents!$IH:$IH,1),"")</f>
        <v/>
      </c>
      <c r="M350" t="str">
        <f>IF(M$5,COUNTIFS(Residents!$G:$G,$A350,Residents!$ID:$ID,1,Residents!$K:$K,$C350,Residents!$IH:$IH,1),"")</f>
        <v/>
      </c>
      <c r="N350" t="str">
        <f>IF(N$5,COUNTIFS(Residents!$G:$G,$A350,Residents!$ID:$ID,1,Residents!$K:$K,$C350,Residents!$IH:$IH,1),"")</f>
        <v/>
      </c>
      <c r="O350" t="str">
        <f>IF(O$5,COUNTIFS(Residents!$G:$G,$A350,Residents!$ID:$ID,1,Residents!$K:$K,$C350,Residents!$IH:$IH,1),"")</f>
        <v/>
      </c>
      <c r="P350" t="str">
        <f>IF(P$5,COUNTIFS(Residents!$G:$G,$A350,Residents!$ID:$ID,1,Residents!$K:$K,$C350,Residents!$IH:$IH,1),"")</f>
        <v/>
      </c>
      <c r="Q350" t="str">
        <f>IF(Q$5,COUNTIFS(Residents!$G:$G,$A350,Residents!$ID:$ID,1,Residents!$K:$K,$C350,Residents!$IH:$IH,1),"")</f>
        <v/>
      </c>
      <c r="R350" t="str">
        <f>IF(R$5,COUNTIFS(Residents!$G:$G,$A350,Residents!$ID:$ID,1,Residents!$K:$K,$C350,Residents!$IH:$IH,1),"")</f>
        <v/>
      </c>
    </row>
    <row r="351" spans="1:18" ht="15">
      <c r="A351" t="s">
        <v>40</v>
      </c>
      <c r="B351" t="str">
        <f>"Number of individuals living with "&amp;C351&amp;" dementia with at least one psychotropic medication order"</f>
        <v>Number of individuals living with VASCULAR dementia with at least one psychotropic medication order</v>
      </c>
      <c r="C351" t="s">
        <v>856</v>
      </c>
      <c r="E351" t="s">
        <v>465</v>
      </c>
      <c r="F351" t="str">
        <f>IF(F$5,COUNTIFS(Residents!$G:$G,$A351,Residents!$ID:$ID,1,Residents!$K:$K,$C351,Residents!$IH:$IH,1),"")</f>
        <v/>
      </c>
      <c r="G351" t="str">
        <f>IF(G$5,COUNTIFS(Residents!$G:$G,$A351,Residents!$ID:$ID,1,Residents!$K:$K,$C351,Residents!$IH:$IH,1),"")</f>
        <v/>
      </c>
      <c r="H351" t="str">
        <f>IF(H$5,COUNTIFS(Residents!$G:$G,$A351,Residents!$ID:$ID,1,Residents!$K:$K,$C351,Residents!$IH:$IH,1),"")</f>
        <v/>
      </c>
      <c r="I351" t="str">
        <f>IF(I$5,COUNTIFS(Residents!$G:$G,$A351,Residents!$ID:$ID,1,Residents!$K:$K,$C351,Residents!$IH:$IH,1),"")</f>
        <v/>
      </c>
      <c r="J351" t="str">
        <f>IF(J$5,COUNTIFS(Residents!$G:$G,$A351,Residents!$ID:$ID,1,Residents!$K:$K,$C351,Residents!$IH:$IH,1),"")</f>
        <v/>
      </c>
      <c r="K351" t="str">
        <f>IF(K$5,COUNTIFS(Residents!$G:$G,$A351,Residents!$ID:$ID,1,Residents!$K:$K,$C351,Residents!$IH:$IH,1),"")</f>
        <v/>
      </c>
      <c r="L351" t="str">
        <f>IF(L$5,COUNTIFS(Residents!$G:$G,$A351,Residents!$ID:$ID,1,Residents!$K:$K,$C351,Residents!$IH:$IH,1),"")</f>
        <v/>
      </c>
      <c r="M351" t="str">
        <f>IF(M$5,COUNTIFS(Residents!$G:$G,$A351,Residents!$ID:$ID,1,Residents!$K:$K,$C351,Residents!$IH:$IH,1),"")</f>
        <v/>
      </c>
      <c r="N351" t="str">
        <f>IF(N$5,COUNTIFS(Residents!$G:$G,$A351,Residents!$ID:$ID,1,Residents!$K:$K,$C351,Residents!$IH:$IH,1),"")</f>
        <v/>
      </c>
      <c r="O351" t="str">
        <f>IF(O$5,COUNTIFS(Residents!$G:$G,$A351,Residents!$ID:$ID,1,Residents!$K:$K,$C351,Residents!$IH:$IH,1),"")</f>
        <v/>
      </c>
      <c r="P351" t="str">
        <f>IF(P$5,COUNTIFS(Residents!$G:$G,$A351,Residents!$ID:$ID,1,Residents!$K:$K,$C351,Residents!$IH:$IH,1),"")</f>
        <v/>
      </c>
      <c r="Q351" t="str">
        <f>IF(Q$5,COUNTIFS(Residents!$G:$G,$A351,Residents!$ID:$ID,1,Residents!$K:$K,$C351,Residents!$IH:$IH,1),"")</f>
        <v/>
      </c>
      <c r="R351" t="str">
        <f>IF(R$5,COUNTIFS(Residents!$G:$G,$A351,Residents!$ID:$ID,1,Residents!$K:$K,$C351,Residents!$IH:$IH,1),"")</f>
        <v/>
      </c>
    </row>
    <row r="352" spans="1:18" ht="15">
      <c r="A352" t="s">
        <v>40</v>
      </c>
      <c r="B352" t="str">
        <f>"Number of individuals living with "&amp;C352&amp;" dementia with at least one psychotropic medication order"</f>
        <v>Number of individuals living with LEWY BODIES dementia with at least one psychotropic medication order</v>
      </c>
      <c r="C352" t="s">
        <v>870</v>
      </c>
      <c r="E352" t="s">
        <v>465</v>
      </c>
      <c r="F352" t="str">
        <f>IF(F$5,COUNTIFS(Residents!$G:$G,$A352,Residents!$ID:$ID,1,Residents!$K:$K,$C352,Residents!$IH:$IH,1),"")</f>
        <v/>
      </c>
      <c r="G352" t="str">
        <f>IF(G$5,COUNTIFS(Residents!$G:$G,$A352,Residents!$ID:$ID,1,Residents!$K:$K,$C352,Residents!$IH:$IH,1),"")</f>
        <v/>
      </c>
      <c r="H352" t="str">
        <f>IF(H$5,COUNTIFS(Residents!$G:$G,$A352,Residents!$ID:$ID,1,Residents!$K:$K,$C352,Residents!$IH:$IH,1),"")</f>
        <v/>
      </c>
      <c r="I352" t="str">
        <f>IF(I$5,COUNTIFS(Residents!$G:$G,$A352,Residents!$ID:$ID,1,Residents!$K:$K,$C352,Residents!$IH:$IH,1),"")</f>
        <v/>
      </c>
      <c r="J352" t="str">
        <f>IF(J$5,COUNTIFS(Residents!$G:$G,$A352,Residents!$ID:$ID,1,Residents!$K:$K,$C352,Residents!$IH:$IH,1),"")</f>
        <v/>
      </c>
      <c r="K352" t="str">
        <f>IF(K$5,COUNTIFS(Residents!$G:$G,$A352,Residents!$ID:$ID,1,Residents!$K:$K,$C352,Residents!$IH:$IH,1),"")</f>
        <v/>
      </c>
      <c r="L352" t="str">
        <f>IF(L$5,COUNTIFS(Residents!$G:$G,$A352,Residents!$ID:$ID,1,Residents!$K:$K,$C352,Residents!$IH:$IH,1),"")</f>
        <v/>
      </c>
      <c r="M352" t="str">
        <f>IF(M$5,COUNTIFS(Residents!$G:$G,$A352,Residents!$ID:$ID,1,Residents!$K:$K,$C352,Residents!$IH:$IH,1),"")</f>
        <v/>
      </c>
      <c r="N352" t="str">
        <f>IF(N$5,COUNTIFS(Residents!$G:$G,$A352,Residents!$ID:$ID,1,Residents!$K:$K,$C352,Residents!$IH:$IH,1),"")</f>
        <v/>
      </c>
      <c r="O352" t="str">
        <f>IF(O$5,COUNTIFS(Residents!$G:$G,$A352,Residents!$ID:$ID,1,Residents!$K:$K,$C352,Residents!$IH:$IH,1),"")</f>
        <v/>
      </c>
      <c r="P352" t="str">
        <f>IF(P$5,COUNTIFS(Residents!$G:$G,$A352,Residents!$ID:$ID,1,Residents!$K:$K,$C352,Residents!$IH:$IH,1),"")</f>
        <v/>
      </c>
      <c r="Q352" t="str">
        <f>IF(Q$5,COUNTIFS(Residents!$G:$G,$A352,Residents!$ID:$ID,1,Residents!$K:$K,$C352,Residents!$IH:$IH,1),"")</f>
        <v/>
      </c>
      <c r="R352" t="str">
        <f>IF(R$5,COUNTIFS(Residents!$G:$G,$A352,Residents!$ID:$ID,1,Residents!$K:$K,$C352,Residents!$IH:$IH,1),"")</f>
        <v/>
      </c>
    </row>
    <row r="353" spans="1:18" ht="15">
      <c r="A353" t="s">
        <v>40</v>
      </c>
      <c r="B353" t="str">
        <f>"Number of individuals living with "&amp;C353&amp;" dementia with at least one psychotropic medication order"</f>
        <v>Number of individuals living with MIXED dementia with at least one psychotropic medication order</v>
      </c>
      <c r="C353" t="s">
        <v>855</v>
      </c>
      <c r="E353" t="s">
        <v>465</v>
      </c>
      <c r="F353" t="str">
        <f>IF(F$5,COUNTIFS(Residents!$G:$G,$A353,Residents!$ID:$ID,1,Residents!$K:$K,$C353,Residents!$IH:$IH,1),"")</f>
        <v/>
      </c>
      <c r="G353" t="str">
        <f>IF(G$5,COUNTIFS(Residents!$G:$G,$A353,Residents!$ID:$ID,1,Residents!$K:$K,$C353,Residents!$IH:$IH,1),"")</f>
        <v/>
      </c>
      <c r="H353" t="str">
        <f>IF(H$5,COUNTIFS(Residents!$G:$G,$A353,Residents!$ID:$ID,1,Residents!$K:$K,$C353,Residents!$IH:$IH,1),"")</f>
        <v/>
      </c>
      <c r="I353" t="str">
        <f>IF(I$5,COUNTIFS(Residents!$G:$G,$A353,Residents!$ID:$ID,1,Residents!$K:$K,$C353,Residents!$IH:$IH,1),"")</f>
        <v/>
      </c>
      <c r="J353" t="str">
        <f>IF(J$5,COUNTIFS(Residents!$G:$G,$A353,Residents!$ID:$ID,1,Residents!$K:$K,$C353,Residents!$IH:$IH,1),"")</f>
        <v/>
      </c>
      <c r="K353" t="str">
        <f>IF(K$5,COUNTIFS(Residents!$G:$G,$A353,Residents!$ID:$ID,1,Residents!$K:$K,$C353,Residents!$IH:$IH,1),"")</f>
        <v/>
      </c>
      <c r="L353" t="str">
        <f>IF(L$5,COUNTIFS(Residents!$G:$G,$A353,Residents!$ID:$ID,1,Residents!$K:$K,$C353,Residents!$IH:$IH,1),"")</f>
        <v/>
      </c>
      <c r="M353" t="str">
        <f>IF(M$5,COUNTIFS(Residents!$G:$G,$A353,Residents!$ID:$ID,1,Residents!$K:$K,$C353,Residents!$IH:$IH,1),"")</f>
        <v/>
      </c>
      <c r="N353" t="str">
        <f>IF(N$5,COUNTIFS(Residents!$G:$G,$A353,Residents!$ID:$ID,1,Residents!$K:$K,$C353,Residents!$IH:$IH,1),"")</f>
        <v/>
      </c>
      <c r="O353" t="str">
        <f>IF(O$5,COUNTIFS(Residents!$G:$G,$A353,Residents!$ID:$ID,1,Residents!$K:$K,$C353,Residents!$IH:$IH,1),"")</f>
        <v/>
      </c>
      <c r="P353" t="str">
        <f>IF(P$5,COUNTIFS(Residents!$G:$G,$A353,Residents!$ID:$ID,1,Residents!$K:$K,$C353,Residents!$IH:$IH,1),"")</f>
        <v/>
      </c>
      <c r="Q353" t="str">
        <f>IF(Q$5,COUNTIFS(Residents!$G:$G,$A353,Residents!$ID:$ID,1,Residents!$K:$K,$C353,Residents!$IH:$IH,1),"")</f>
        <v/>
      </c>
      <c r="R353" t="str">
        <f>IF(R$5,COUNTIFS(Residents!$G:$G,$A353,Residents!$ID:$ID,1,Residents!$K:$K,$C353,Residents!$IH:$IH,1),"")</f>
        <v/>
      </c>
    </row>
    <row r="354" spans="1:18" ht="15">
      <c r="A354" t="s">
        <v>40</v>
      </c>
      <c r="B354" t="str">
        <f>"Number of individuals living with "&amp;C354&amp;" dementia with at least one psychotropic medication order"</f>
        <v>Number of individuals living with OTHER dementia with at least one psychotropic medication order</v>
      </c>
      <c r="C354" t="s">
        <v>871</v>
      </c>
      <c r="E354" t="s">
        <v>465</v>
      </c>
      <c r="F354" t="str">
        <f>IF(F$5,COUNTIFS(Residents!$G:$G,$A354,Residents!$ID:$ID,1,Residents!$K:$K,$C354,Residents!$IH:$IH,1),"")</f>
        <v/>
      </c>
      <c r="G354" t="str">
        <f>IF(G$5,COUNTIFS(Residents!$G:$G,$A354,Residents!$ID:$ID,1,Residents!$K:$K,$C354,Residents!$IH:$IH,1),"")</f>
        <v/>
      </c>
      <c r="H354" t="str">
        <f>IF(H$5,COUNTIFS(Residents!$G:$G,$A354,Residents!$ID:$ID,1,Residents!$K:$K,$C354,Residents!$IH:$IH,1),"")</f>
        <v/>
      </c>
      <c r="I354" t="str">
        <f>IF(I$5,COUNTIFS(Residents!$G:$G,$A354,Residents!$ID:$ID,1,Residents!$K:$K,$C354,Residents!$IH:$IH,1),"")</f>
        <v/>
      </c>
      <c r="J354" t="str">
        <f>IF(J$5,COUNTIFS(Residents!$G:$G,$A354,Residents!$ID:$ID,1,Residents!$K:$K,$C354,Residents!$IH:$IH,1),"")</f>
        <v/>
      </c>
      <c r="K354" t="str">
        <f>IF(K$5,COUNTIFS(Residents!$G:$G,$A354,Residents!$ID:$ID,1,Residents!$K:$K,$C354,Residents!$IH:$IH,1),"")</f>
        <v/>
      </c>
      <c r="L354" t="str">
        <f>IF(L$5,COUNTIFS(Residents!$G:$G,$A354,Residents!$ID:$ID,1,Residents!$K:$K,$C354,Residents!$IH:$IH,1),"")</f>
        <v/>
      </c>
      <c r="M354" t="str">
        <f>IF(M$5,COUNTIFS(Residents!$G:$G,$A354,Residents!$ID:$ID,1,Residents!$K:$K,$C354,Residents!$IH:$IH,1),"")</f>
        <v/>
      </c>
      <c r="N354" t="str">
        <f>IF(N$5,COUNTIFS(Residents!$G:$G,$A354,Residents!$ID:$ID,1,Residents!$K:$K,$C354,Residents!$IH:$IH,1),"")</f>
        <v/>
      </c>
      <c r="O354" t="str">
        <f>IF(O$5,COUNTIFS(Residents!$G:$G,$A354,Residents!$ID:$ID,1,Residents!$K:$K,$C354,Residents!$IH:$IH,1),"")</f>
        <v/>
      </c>
      <c r="P354" t="str">
        <f>IF(P$5,COUNTIFS(Residents!$G:$G,$A354,Residents!$ID:$ID,1,Residents!$K:$K,$C354,Residents!$IH:$IH,1),"")</f>
        <v/>
      </c>
      <c r="Q354" t="str">
        <f>IF(Q$5,COUNTIFS(Residents!$G:$G,$A354,Residents!$ID:$ID,1,Residents!$K:$K,$C354,Residents!$IH:$IH,1),"")</f>
        <v/>
      </c>
      <c r="R354" t="str">
        <f>IF(R$5,COUNTIFS(Residents!$G:$G,$A354,Residents!$ID:$ID,1,Residents!$K:$K,$C354,Residents!$IH:$IH,1),"")</f>
        <v/>
      </c>
    </row>
    <row r="355" spans="1:18" ht="15">
      <c r="A355" t="s">
        <v>40</v>
      </c>
      <c r="B355" t="str">
        <f>"Number of individuals with "&amp;C355&amp;" mental health diagnosis"</f>
        <v>Number of individuals with Anxiety mental health diagnosis</v>
      </c>
      <c r="C355" t="s">
        <v>34</v>
      </c>
      <c r="E355" t="s">
        <v>465</v>
      </c>
      <c r="F355" t="str">
        <f>IF(F$5,COUNTIFS(Residents!$G:$G,$A355,Residents!$ID:$ID,1,Residents!$N:$N,1),"")</f>
        <v/>
      </c>
      <c r="G355" t="str">
        <f>IF(G$5,COUNTIFS(Residents!$G:$G,$A355,Residents!$ID:$ID,1,Residents!$N:$N,1),"")</f>
        <v/>
      </c>
      <c r="H355" t="str">
        <f>IF(H$5,COUNTIFS(Residents!$G:$G,$A355,Residents!$ID:$ID,1,Residents!$N:$N,1),"")</f>
        <v/>
      </c>
      <c r="I355" t="str">
        <f>IF(I$5,COUNTIFS(Residents!$G:$G,$A355,Residents!$ID:$ID,1,Residents!$N:$N,1),"")</f>
        <v/>
      </c>
      <c r="J355" t="str">
        <f>IF(J$5,COUNTIFS(Residents!$G:$G,$A355,Residents!$ID:$ID,1,Residents!$N:$N,1),"")</f>
        <v/>
      </c>
      <c r="K355" t="str">
        <f>IF(K$5,COUNTIFS(Residents!$G:$G,$A355,Residents!$ID:$ID,1,Residents!$N:$N,1),"")</f>
        <v/>
      </c>
      <c r="L355" t="str">
        <f>IF(L$5,COUNTIFS(Residents!$G:$G,$A355,Residents!$ID:$ID,1,Residents!$N:$N,1),"")</f>
        <v/>
      </c>
      <c r="M355" t="str">
        <f>IF(M$5,COUNTIFS(Residents!$G:$G,$A355,Residents!$ID:$ID,1,Residents!$N:$N,1),"")</f>
        <v/>
      </c>
      <c r="N355" t="str">
        <f>IF(N$5,COUNTIFS(Residents!$G:$G,$A355,Residents!$ID:$ID,1,Residents!$N:$N,1),"")</f>
        <v/>
      </c>
      <c r="O355" t="str">
        <f>IF(O$5,COUNTIFS(Residents!$G:$G,$A355,Residents!$ID:$ID,1,Residents!$N:$N,1),"")</f>
        <v/>
      </c>
      <c r="P355" t="str">
        <f>IF(P$5,COUNTIFS(Residents!$G:$G,$A355,Residents!$ID:$ID,1,Residents!$N:$N,1),"")</f>
        <v/>
      </c>
      <c r="Q355" t="str">
        <f>IF(Q$5,COUNTIFS(Residents!$G:$G,$A355,Residents!$ID:$ID,1,Residents!$N:$N,1),"")</f>
        <v/>
      </c>
      <c r="R355" t="str">
        <f>IF(R$5,COUNTIFS(Residents!$G:$G,$A355,Residents!$ID:$ID,1,Residents!$N:$N,1),"")</f>
        <v/>
      </c>
    </row>
    <row r="356" spans="1:18" ht="15">
      <c r="A356" t="s">
        <v>40</v>
      </c>
      <c r="B356" t="str">
        <f aca="true" t="shared" si="56" ref="B356:B363">"Number of individuals with "&amp;C356&amp;" mental health diagnosis"</f>
        <v>Number of individuals with Bipolar mental health diagnosis</v>
      </c>
      <c r="C356" t="s">
        <v>54</v>
      </c>
      <c r="E356" t="s">
        <v>465</v>
      </c>
      <c r="F356" t="str">
        <f>IF(F$5,COUNTIFS(Residents!$G:$G,$A356,Residents!$ID:$ID,1,Residents!$O:$O,1),"")</f>
        <v/>
      </c>
      <c r="G356" t="str">
        <f>IF(G$5,COUNTIFS(Residents!$G:$G,$A356,Residents!$ID:$ID,1,Residents!$O:$O,1),"")</f>
        <v/>
      </c>
      <c r="H356" t="str">
        <f>IF(H$5,COUNTIFS(Residents!$G:$G,$A356,Residents!$ID:$ID,1,Residents!$O:$O,1),"")</f>
        <v/>
      </c>
      <c r="I356" t="str">
        <f>IF(I$5,COUNTIFS(Residents!$G:$G,$A356,Residents!$ID:$ID,1,Residents!$O:$O,1),"")</f>
        <v/>
      </c>
      <c r="J356" t="str">
        <f>IF(J$5,COUNTIFS(Residents!$G:$G,$A356,Residents!$ID:$ID,1,Residents!$O:$O,1),"")</f>
        <v/>
      </c>
      <c r="K356" t="str">
        <f>IF(K$5,COUNTIFS(Residents!$G:$G,$A356,Residents!$ID:$ID,1,Residents!$O:$O,1),"")</f>
        <v/>
      </c>
      <c r="L356" t="str">
        <f>IF(L$5,COUNTIFS(Residents!$G:$G,$A356,Residents!$ID:$ID,1,Residents!$O:$O,1),"")</f>
        <v/>
      </c>
      <c r="M356" t="str">
        <f>IF(M$5,COUNTIFS(Residents!$G:$G,$A356,Residents!$ID:$ID,1,Residents!$O:$O,1),"")</f>
        <v/>
      </c>
      <c r="N356" t="str">
        <f>IF(N$5,COUNTIFS(Residents!$G:$G,$A356,Residents!$ID:$ID,1,Residents!$O:$O,1),"")</f>
        <v/>
      </c>
      <c r="O356" t="str">
        <f>IF(O$5,COUNTIFS(Residents!$G:$G,$A356,Residents!$ID:$ID,1,Residents!$O:$O,1),"")</f>
        <v/>
      </c>
      <c r="P356" t="str">
        <f>IF(P$5,COUNTIFS(Residents!$G:$G,$A356,Residents!$ID:$ID,1,Residents!$O:$O,1),"")</f>
        <v/>
      </c>
      <c r="Q356" t="str">
        <f>IF(Q$5,COUNTIFS(Residents!$G:$G,$A356,Residents!$ID:$ID,1,Residents!$O:$O,1),"")</f>
        <v/>
      </c>
      <c r="R356" t="str">
        <f>IF(R$5,COUNTIFS(Residents!$G:$G,$A356,Residents!$ID:$ID,1,Residents!$O:$O,1),"")</f>
        <v/>
      </c>
    </row>
    <row r="357" spans="1:18" ht="15">
      <c r="A357" t="s">
        <v>40</v>
      </c>
      <c r="B357" t="str">
        <f t="shared" si="56"/>
        <v>Number of individuals with Delirium mental health diagnosis</v>
      </c>
      <c r="C357" t="s">
        <v>55</v>
      </c>
      <c r="E357" t="s">
        <v>465</v>
      </c>
      <c r="F357" t="str">
        <f>IF(F$5,COUNTIFS(Residents!$G:$G,$A357,Residents!$ID:$ID,1,Residents!$P:$P,1),"")</f>
        <v/>
      </c>
      <c r="G357" t="str">
        <f>IF(G$5,COUNTIFS(Residents!$G:$G,$A357,Residents!$ID:$ID,1,Residents!$P:$P,1),"")</f>
        <v/>
      </c>
      <c r="H357" t="str">
        <f>IF(H$5,COUNTIFS(Residents!$G:$G,$A357,Residents!$ID:$ID,1,Residents!$P:$P,1),"")</f>
        <v/>
      </c>
      <c r="I357" t="str">
        <f>IF(I$5,COUNTIFS(Residents!$G:$G,$A357,Residents!$ID:$ID,1,Residents!$P:$P,1),"")</f>
        <v/>
      </c>
      <c r="J357" t="str">
        <f>IF(J$5,COUNTIFS(Residents!$G:$G,$A357,Residents!$ID:$ID,1,Residents!$P:$P,1),"")</f>
        <v/>
      </c>
      <c r="K357" t="str">
        <f>IF(K$5,COUNTIFS(Residents!$G:$G,$A357,Residents!$ID:$ID,1,Residents!$P:$P,1),"")</f>
        <v/>
      </c>
      <c r="L357" t="str">
        <f>IF(L$5,COUNTIFS(Residents!$G:$G,$A357,Residents!$ID:$ID,1,Residents!$P:$P,1),"")</f>
        <v/>
      </c>
      <c r="M357" t="str">
        <f>IF(M$5,COUNTIFS(Residents!$G:$G,$A357,Residents!$ID:$ID,1,Residents!$P:$P,1),"")</f>
        <v/>
      </c>
      <c r="N357" t="str">
        <f>IF(N$5,COUNTIFS(Residents!$G:$G,$A357,Residents!$ID:$ID,1,Residents!$P:$P,1),"")</f>
        <v/>
      </c>
      <c r="O357" t="str">
        <f>IF(O$5,COUNTIFS(Residents!$G:$G,$A357,Residents!$ID:$ID,1,Residents!$P:$P,1),"")</f>
        <v/>
      </c>
      <c r="P357" t="str">
        <f>IF(P$5,COUNTIFS(Residents!$G:$G,$A357,Residents!$ID:$ID,1,Residents!$P:$P,1),"")</f>
        <v/>
      </c>
      <c r="Q357" t="str">
        <f>IF(Q$5,COUNTIFS(Residents!$G:$G,$A357,Residents!$ID:$ID,1,Residents!$P:$P,1),"")</f>
        <v/>
      </c>
      <c r="R357" t="str">
        <f>IF(R$5,COUNTIFS(Residents!$G:$G,$A357,Residents!$ID:$ID,1,Residents!$P:$P,1),"")</f>
        <v/>
      </c>
    </row>
    <row r="358" spans="1:18" ht="15">
      <c r="A358" t="s">
        <v>40</v>
      </c>
      <c r="B358" t="str">
        <f t="shared" si="56"/>
        <v>Number of individuals with Depression mental health diagnosis</v>
      </c>
      <c r="C358" t="s">
        <v>56</v>
      </c>
      <c r="E358" t="s">
        <v>465</v>
      </c>
      <c r="F358" t="str">
        <f>IF(F$5,COUNTIFS(Residents!$G:$G,$A358,Residents!$ID:$ID,1,Residents!$Q:$Q,1),"")</f>
        <v/>
      </c>
      <c r="G358" t="str">
        <f>IF(G$5,COUNTIFS(Residents!$G:$G,$A358,Residents!$ID:$ID,1,Residents!$Q:$Q,1),"")</f>
        <v/>
      </c>
      <c r="H358" t="str">
        <f>IF(H$5,COUNTIFS(Residents!$G:$G,$A358,Residents!$ID:$ID,1,Residents!$Q:$Q,1),"")</f>
        <v/>
      </c>
      <c r="I358" t="str">
        <f>IF(I$5,COUNTIFS(Residents!$G:$G,$A358,Residents!$ID:$ID,1,Residents!$Q:$Q,1),"")</f>
        <v/>
      </c>
      <c r="J358" t="str">
        <f>IF(J$5,COUNTIFS(Residents!$G:$G,$A358,Residents!$ID:$ID,1,Residents!$Q:$Q,1),"")</f>
        <v/>
      </c>
      <c r="K358" t="str">
        <f>IF(K$5,COUNTIFS(Residents!$G:$G,$A358,Residents!$ID:$ID,1,Residents!$Q:$Q,1),"")</f>
        <v/>
      </c>
      <c r="L358" t="str">
        <f>IF(L$5,COUNTIFS(Residents!$G:$G,$A358,Residents!$ID:$ID,1,Residents!$Q:$Q,1),"")</f>
        <v/>
      </c>
      <c r="M358" t="str">
        <f>IF(M$5,COUNTIFS(Residents!$G:$G,$A358,Residents!$ID:$ID,1,Residents!$Q:$Q,1),"")</f>
        <v/>
      </c>
      <c r="N358" t="str">
        <f>IF(N$5,COUNTIFS(Residents!$G:$G,$A358,Residents!$ID:$ID,1,Residents!$Q:$Q,1),"")</f>
        <v/>
      </c>
      <c r="O358" t="str">
        <f>IF(O$5,COUNTIFS(Residents!$G:$G,$A358,Residents!$ID:$ID,1,Residents!$Q:$Q,1),"")</f>
        <v/>
      </c>
      <c r="P358" t="str">
        <f>IF(P$5,COUNTIFS(Residents!$G:$G,$A358,Residents!$ID:$ID,1,Residents!$Q:$Q,1),"")</f>
        <v/>
      </c>
      <c r="Q358" t="str">
        <f>IF(Q$5,COUNTIFS(Residents!$G:$G,$A358,Residents!$ID:$ID,1,Residents!$Q:$Q,1),"")</f>
        <v/>
      </c>
      <c r="R358" t="str">
        <f>IF(R$5,COUNTIFS(Residents!$G:$G,$A358,Residents!$ID:$ID,1,Residents!$Q:$Q,1),"")</f>
        <v/>
      </c>
    </row>
    <row r="359" spans="1:18" ht="15">
      <c r="A359" t="s">
        <v>40</v>
      </c>
      <c r="B359" t="str">
        <f t="shared" si="56"/>
        <v>Number of individuals with Huntingtons mental health diagnosis</v>
      </c>
      <c r="C359" t="s">
        <v>57</v>
      </c>
      <c r="E359" t="s">
        <v>465</v>
      </c>
      <c r="F359" t="str">
        <f>IF(F$5,COUNTIFS(Residents!$G:$G,$A359,Residents!$ID:$ID,1,Residents!$R:$R,1),"")</f>
        <v/>
      </c>
      <c r="G359" t="str">
        <f>IF(G$5,COUNTIFS(Residents!$G:$G,$A359,Residents!$ID:$ID,1,Residents!$R:$R,1),"")</f>
        <v/>
      </c>
      <c r="H359" t="str">
        <f>IF(H$5,COUNTIFS(Residents!$G:$G,$A359,Residents!$ID:$ID,1,Residents!$R:$R,1),"")</f>
        <v/>
      </c>
      <c r="I359" t="str">
        <f>IF(I$5,COUNTIFS(Residents!$G:$G,$A359,Residents!$ID:$ID,1,Residents!$R:$R,1),"")</f>
        <v/>
      </c>
      <c r="J359" t="str">
        <f>IF(J$5,COUNTIFS(Residents!$G:$G,$A359,Residents!$ID:$ID,1,Residents!$R:$R,1),"")</f>
        <v/>
      </c>
      <c r="K359" t="str">
        <f>IF(K$5,COUNTIFS(Residents!$G:$G,$A359,Residents!$ID:$ID,1,Residents!$R:$R,1),"")</f>
        <v/>
      </c>
      <c r="L359" t="str">
        <f>IF(L$5,COUNTIFS(Residents!$G:$G,$A359,Residents!$ID:$ID,1,Residents!$R:$R,1),"")</f>
        <v/>
      </c>
      <c r="M359" t="str">
        <f>IF(M$5,COUNTIFS(Residents!$G:$G,$A359,Residents!$ID:$ID,1,Residents!$R:$R,1),"")</f>
        <v/>
      </c>
      <c r="N359" t="str">
        <f>IF(N$5,COUNTIFS(Residents!$G:$G,$A359,Residents!$ID:$ID,1,Residents!$R:$R,1),"")</f>
        <v/>
      </c>
      <c r="O359" t="str">
        <f>IF(O$5,COUNTIFS(Residents!$G:$G,$A359,Residents!$ID:$ID,1,Residents!$R:$R,1),"")</f>
        <v/>
      </c>
      <c r="P359" t="str">
        <f>IF(P$5,COUNTIFS(Residents!$G:$G,$A359,Residents!$ID:$ID,1,Residents!$R:$R,1),"")</f>
        <v/>
      </c>
      <c r="Q359" t="str">
        <f>IF(Q$5,COUNTIFS(Residents!$G:$G,$A359,Residents!$ID:$ID,1,Residents!$R:$R,1),"")</f>
        <v/>
      </c>
      <c r="R359" t="str">
        <f>IF(R$5,COUNTIFS(Residents!$G:$G,$A359,Residents!$ID:$ID,1,Residents!$R:$R,1),"")</f>
        <v/>
      </c>
    </row>
    <row r="360" spans="1:18" ht="15">
      <c r="A360" t="s">
        <v>40</v>
      </c>
      <c r="B360" t="str">
        <f t="shared" si="56"/>
        <v>Number of individuals with PTSD mental health diagnosis</v>
      </c>
      <c r="C360" t="s">
        <v>58</v>
      </c>
      <c r="E360" t="s">
        <v>465</v>
      </c>
      <c r="F360" t="str">
        <f>IF(F$5,COUNTIFS(Residents!$G:$G,$A360,Residents!$ID:$ID,1,Residents!$S:$S,1),"")</f>
        <v/>
      </c>
      <c r="G360" t="str">
        <f>IF(G$5,COUNTIFS(Residents!$G:$G,$A360,Residents!$ID:$ID,1,Residents!$S:$S,1),"")</f>
        <v/>
      </c>
      <c r="H360" t="str">
        <f>IF(H$5,COUNTIFS(Residents!$G:$G,$A360,Residents!$ID:$ID,1,Residents!$S:$S,1),"")</f>
        <v/>
      </c>
      <c r="I360" t="str">
        <f>IF(I$5,COUNTIFS(Residents!$G:$G,$A360,Residents!$ID:$ID,1,Residents!$S:$S,1),"")</f>
        <v/>
      </c>
      <c r="J360" t="str">
        <f>IF(J$5,COUNTIFS(Residents!$G:$G,$A360,Residents!$ID:$ID,1,Residents!$S:$S,1),"")</f>
        <v/>
      </c>
      <c r="K360" t="str">
        <f>IF(K$5,COUNTIFS(Residents!$G:$G,$A360,Residents!$ID:$ID,1,Residents!$S:$S,1),"")</f>
        <v/>
      </c>
      <c r="L360" t="str">
        <f>IF(L$5,COUNTIFS(Residents!$G:$G,$A360,Residents!$ID:$ID,1,Residents!$S:$S,1),"")</f>
        <v/>
      </c>
      <c r="M360" t="str">
        <f>IF(M$5,COUNTIFS(Residents!$G:$G,$A360,Residents!$ID:$ID,1,Residents!$S:$S,1),"")</f>
        <v/>
      </c>
      <c r="N360" t="str">
        <f>IF(N$5,COUNTIFS(Residents!$G:$G,$A360,Residents!$ID:$ID,1,Residents!$S:$S,1),"")</f>
        <v/>
      </c>
      <c r="O360" t="str">
        <f>IF(O$5,COUNTIFS(Residents!$G:$G,$A360,Residents!$ID:$ID,1,Residents!$S:$S,1),"")</f>
        <v/>
      </c>
      <c r="P360" t="str">
        <f>IF(P$5,COUNTIFS(Residents!$G:$G,$A360,Residents!$ID:$ID,1,Residents!$S:$S,1),"")</f>
        <v/>
      </c>
      <c r="Q360" t="str">
        <f>IF(Q$5,COUNTIFS(Residents!$G:$G,$A360,Residents!$ID:$ID,1,Residents!$S:$S,1),"")</f>
        <v/>
      </c>
      <c r="R360" t="str">
        <f>IF(R$5,COUNTIFS(Residents!$G:$G,$A360,Residents!$ID:$ID,1,Residents!$S:$S,1),"")</f>
        <v/>
      </c>
    </row>
    <row r="361" spans="1:18" ht="15">
      <c r="A361" t="s">
        <v>40</v>
      </c>
      <c r="B361" t="str">
        <f t="shared" si="56"/>
        <v>Number of individuals with Schizophrenia mental health diagnosis</v>
      </c>
      <c r="C361" t="s">
        <v>59</v>
      </c>
      <c r="E361" t="s">
        <v>465</v>
      </c>
      <c r="F361" t="str">
        <f>IF(F$5,COUNTIFS(Residents!$G:$G,$A361,Residents!$ID:$ID,1,Residents!$T:$T,1),"")</f>
        <v/>
      </c>
      <c r="G361" t="str">
        <f>IF(G$5,COUNTIFS(Residents!$G:$G,$A361,Residents!$ID:$ID,1,Residents!$T:$T,1),"")</f>
        <v/>
      </c>
      <c r="H361" t="str">
        <f>IF(H$5,COUNTIFS(Residents!$G:$G,$A361,Residents!$ID:$ID,1,Residents!$T:$T,1),"")</f>
        <v/>
      </c>
      <c r="I361" t="str">
        <f>IF(I$5,COUNTIFS(Residents!$G:$G,$A361,Residents!$ID:$ID,1,Residents!$T:$T,1),"")</f>
        <v/>
      </c>
      <c r="J361" t="str">
        <f>IF(J$5,COUNTIFS(Residents!$G:$G,$A361,Residents!$ID:$ID,1,Residents!$T:$T,1),"")</f>
        <v/>
      </c>
      <c r="K361" t="str">
        <f>IF(K$5,COUNTIFS(Residents!$G:$G,$A361,Residents!$ID:$ID,1,Residents!$T:$T,1),"")</f>
        <v/>
      </c>
      <c r="L361" t="str">
        <f>IF(L$5,COUNTIFS(Residents!$G:$G,$A361,Residents!$ID:$ID,1,Residents!$T:$T,1),"")</f>
        <v/>
      </c>
      <c r="M361" t="str">
        <f>IF(M$5,COUNTIFS(Residents!$G:$G,$A361,Residents!$ID:$ID,1,Residents!$T:$T,1),"")</f>
        <v/>
      </c>
      <c r="N361" t="str">
        <f>IF(N$5,COUNTIFS(Residents!$G:$G,$A361,Residents!$ID:$ID,1,Residents!$T:$T,1),"")</f>
        <v/>
      </c>
      <c r="O361" t="str">
        <f>IF(O$5,COUNTIFS(Residents!$G:$G,$A361,Residents!$ID:$ID,1,Residents!$T:$T,1),"")</f>
        <v/>
      </c>
      <c r="P361" t="str">
        <f>IF(P$5,COUNTIFS(Residents!$G:$G,$A361,Residents!$ID:$ID,1,Residents!$T:$T,1),"")</f>
        <v/>
      </c>
      <c r="Q361" t="str">
        <f>IF(Q$5,COUNTIFS(Residents!$G:$G,$A361,Residents!$ID:$ID,1,Residents!$T:$T,1),"")</f>
        <v/>
      </c>
      <c r="R361" t="str">
        <f>IF(R$5,COUNTIFS(Residents!$G:$G,$A361,Residents!$ID:$ID,1,Residents!$T:$T,1),"")</f>
        <v/>
      </c>
    </row>
    <row r="362" spans="1:18" ht="15">
      <c r="A362" t="s">
        <v>40</v>
      </c>
      <c r="B362" t="str">
        <f t="shared" si="56"/>
        <v>Number of individuals with Tourettes mental health diagnosis</v>
      </c>
      <c r="C362" t="s">
        <v>60</v>
      </c>
      <c r="E362" t="s">
        <v>465</v>
      </c>
      <c r="F362" t="str">
        <f>IF(F$5,COUNTIFS(Residents!$G:$G,$A362,Residents!$ID:$ID,1,Residents!$U:$U,1),"")</f>
        <v/>
      </c>
      <c r="G362" t="str">
        <f>IF(G$5,COUNTIFS(Residents!$G:$G,$A362,Residents!$ID:$ID,1,Residents!$U:$U,1),"")</f>
        <v/>
      </c>
      <c r="H362" t="str">
        <f>IF(H$5,COUNTIFS(Residents!$G:$G,$A362,Residents!$ID:$ID,1,Residents!$U:$U,1),"")</f>
        <v/>
      </c>
      <c r="I362" t="str">
        <f>IF(I$5,COUNTIFS(Residents!$G:$G,$A362,Residents!$ID:$ID,1,Residents!$U:$U,1),"")</f>
        <v/>
      </c>
      <c r="J362" t="str">
        <f>IF(J$5,COUNTIFS(Residents!$G:$G,$A362,Residents!$ID:$ID,1,Residents!$U:$U,1),"")</f>
        <v/>
      </c>
      <c r="K362" t="str">
        <f>IF(K$5,COUNTIFS(Residents!$G:$G,$A362,Residents!$ID:$ID,1,Residents!$U:$U,1),"")</f>
        <v/>
      </c>
      <c r="L362" t="str">
        <f>IF(L$5,COUNTIFS(Residents!$G:$G,$A362,Residents!$ID:$ID,1,Residents!$U:$U,1),"")</f>
        <v/>
      </c>
      <c r="M362" t="str">
        <f>IF(M$5,COUNTIFS(Residents!$G:$G,$A362,Residents!$ID:$ID,1,Residents!$U:$U,1),"")</f>
        <v/>
      </c>
      <c r="N362" t="str">
        <f>IF(N$5,COUNTIFS(Residents!$G:$G,$A362,Residents!$ID:$ID,1,Residents!$U:$U,1),"")</f>
        <v/>
      </c>
      <c r="O362" t="str">
        <f>IF(O$5,COUNTIFS(Residents!$G:$G,$A362,Residents!$ID:$ID,1,Residents!$U:$U,1),"")</f>
        <v/>
      </c>
      <c r="P362" t="str">
        <f>IF(P$5,COUNTIFS(Residents!$G:$G,$A362,Residents!$ID:$ID,1,Residents!$U:$U,1),"")</f>
        <v/>
      </c>
      <c r="Q362" t="str">
        <f>IF(Q$5,COUNTIFS(Residents!$G:$G,$A362,Residents!$ID:$ID,1,Residents!$U:$U,1),"")</f>
        <v/>
      </c>
      <c r="R362" t="str">
        <f>IF(R$5,COUNTIFS(Residents!$G:$G,$A362,Residents!$ID:$ID,1,Residents!$U:$U,1),"")</f>
        <v/>
      </c>
    </row>
    <row r="363" spans="1:18" ht="15">
      <c r="A363" t="s">
        <v>40</v>
      </c>
      <c r="B363" t="str">
        <f t="shared" si="56"/>
        <v>Number of individuals with MHOther mental health diagnosis</v>
      </c>
      <c r="C363" t="s">
        <v>61</v>
      </c>
      <c r="E363" t="s">
        <v>465</v>
      </c>
      <c r="F363" t="str">
        <f>IF(F$5,COUNTIFS(Residents!$G:$G,$A363,Residents!$ID:$ID,1,Residents!$V:$V,1),"")</f>
        <v/>
      </c>
      <c r="G363" t="str">
        <f>IF(G$5,COUNTIFS(Residents!$G:$G,$A363,Residents!$ID:$ID,1,Residents!$V:$V,1),"")</f>
        <v/>
      </c>
      <c r="H363" t="str">
        <f>IF(H$5,COUNTIFS(Residents!$G:$G,$A363,Residents!$ID:$ID,1,Residents!$V:$V,1),"")</f>
        <v/>
      </c>
      <c r="I363" t="str">
        <f>IF(I$5,COUNTIFS(Residents!$G:$G,$A363,Residents!$ID:$ID,1,Residents!$V:$V,1),"")</f>
        <v/>
      </c>
      <c r="J363" t="str">
        <f>IF(J$5,COUNTIFS(Residents!$G:$G,$A363,Residents!$ID:$ID,1,Residents!$V:$V,1),"")</f>
        <v/>
      </c>
      <c r="K363" t="str">
        <f>IF(K$5,COUNTIFS(Residents!$G:$G,$A363,Residents!$ID:$ID,1,Residents!$V:$V,1),"")</f>
        <v/>
      </c>
      <c r="L363" t="str">
        <f>IF(L$5,COUNTIFS(Residents!$G:$G,$A363,Residents!$ID:$ID,1,Residents!$V:$V,1),"")</f>
        <v/>
      </c>
      <c r="M363" t="str">
        <f>IF(M$5,COUNTIFS(Residents!$G:$G,$A363,Residents!$ID:$ID,1,Residents!$V:$V,1),"")</f>
        <v/>
      </c>
      <c r="N363" t="str">
        <f>IF(N$5,COUNTIFS(Residents!$G:$G,$A363,Residents!$ID:$ID,1,Residents!$V:$V,1),"")</f>
        <v/>
      </c>
      <c r="O363" t="str">
        <f>IF(O$5,COUNTIFS(Residents!$G:$G,$A363,Residents!$ID:$ID,1,Residents!$V:$V,1),"")</f>
        <v/>
      </c>
      <c r="P363" t="str">
        <f>IF(P$5,COUNTIFS(Residents!$G:$G,$A363,Residents!$ID:$ID,1,Residents!$V:$V,1),"")</f>
        <v/>
      </c>
      <c r="Q363" t="str">
        <f>IF(Q$5,COUNTIFS(Residents!$G:$G,$A363,Residents!$ID:$ID,1,Residents!$V:$V,1),"")</f>
        <v/>
      </c>
      <c r="R363" t="str">
        <f>IF(R$5,COUNTIFS(Residents!$G:$G,$A363,Residents!$ID:$ID,1,Residents!$V:$V,1),"")</f>
        <v/>
      </c>
    </row>
    <row r="364" spans="1:18" ht="15">
      <c r="A364" t="s">
        <v>40</v>
      </c>
      <c r="B364" t="str">
        <f>"Number of individuals with "&amp;C364&amp;" mental health diagnosis with at least one psychotropic medication order"</f>
        <v>Number of individuals with Anxiety mental health diagnosis with at least one psychotropic medication order</v>
      </c>
      <c r="C364" t="s">
        <v>34</v>
      </c>
      <c r="E364" t="s">
        <v>465</v>
      </c>
      <c r="F364" t="str">
        <f>IF(F$5,COUNTIFS(Residents!$G:$G,$A364,Residents!$ID:$ID,1,Residents!$N:$N,1,Residents!$IH:$IH,1),"")</f>
        <v/>
      </c>
      <c r="G364" t="str">
        <f>IF(G$5,COUNTIFS(Residents!$G:$G,$A364,Residents!$ID:$ID,1,Residents!$N:$N,1,Residents!$IH:$IH,1),"")</f>
        <v/>
      </c>
      <c r="H364" t="str">
        <f>IF(H$5,COUNTIFS(Residents!$G:$G,$A364,Residents!$ID:$ID,1,Residents!$N:$N,1,Residents!$IH:$IH,1),"")</f>
        <v/>
      </c>
      <c r="I364" t="str">
        <f>IF(I$5,COUNTIFS(Residents!$G:$G,$A364,Residents!$ID:$ID,1,Residents!$N:$N,1,Residents!$IH:$IH,1),"")</f>
        <v/>
      </c>
      <c r="J364" t="str">
        <f>IF(J$5,COUNTIFS(Residents!$G:$G,$A364,Residents!$ID:$ID,1,Residents!$N:$N,1,Residents!$IH:$IH,1),"")</f>
        <v/>
      </c>
      <c r="K364" t="str">
        <f>IF(K$5,COUNTIFS(Residents!$G:$G,$A364,Residents!$ID:$ID,1,Residents!$N:$N,1,Residents!$IH:$IH,1),"")</f>
        <v/>
      </c>
      <c r="L364" t="str">
        <f>IF(L$5,COUNTIFS(Residents!$G:$G,$A364,Residents!$ID:$ID,1,Residents!$N:$N,1,Residents!$IH:$IH,1),"")</f>
        <v/>
      </c>
      <c r="M364" t="str">
        <f>IF(M$5,COUNTIFS(Residents!$G:$G,$A364,Residents!$ID:$ID,1,Residents!$N:$N,1,Residents!$IH:$IH,1),"")</f>
        <v/>
      </c>
      <c r="N364" t="str">
        <f>IF(N$5,COUNTIFS(Residents!$G:$G,$A364,Residents!$ID:$ID,1,Residents!$N:$N,1,Residents!$IH:$IH,1),"")</f>
        <v/>
      </c>
      <c r="O364" t="str">
        <f>IF(O$5,COUNTIFS(Residents!$G:$G,$A364,Residents!$ID:$ID,1,Residents!$N:$N,1,Residents!$IH:$IH,1),"")</f>
        <v/>
      </c>
      <c r="P364" t="str">
        <f>IF(P$5,COUNTIFS(Residents!$G:$G,$A364,Residents!$ID:$ID,1,Residents!$N:$N,1,Residents!$IH:$IH,1),"")</f>
        <v/>
      </c>
      <c r="Q364" t="str">
        <f>IF(Q$5,COUNTIFS(Residents!$G:$G,$A364,Residents!$ID:$ID,1,Residents!$N:$N,1,Residents!$IH:$IH,1),"")</f>
        <v/>
      </c>
      <c r="R364" t="str">
        <f>IF(R$5,COUNTIFS(Residents!$G:$G,$A364,Residents!$ID:$ID,1,Residents!$N:$N,1,Residents!$IH:$IH,1),"")</f>
        <v/>
      </c>
    </row>
    <row r="365" spans="1:18" ht="15">
      <c r="A365" t="s">
        <v>40</v>
      </c>
      <c r="B365" t="str">
        <f aca="true" t="shared" si="57" ref="B365:B372">"Number of individuals with "&amp;C365&amp;" mental health diagnosis with at least one psychotropic medication order"</f>
        <v>Number of individuals with Bipolar mental health diagnosis with at least one psychotropic medication order</v>
      </c>
      <c r="C365" t="s">
        <v>54</v>
      </c>
      <c r="E365" t="s">
        <v>465</v>
      </c>
      <c r="F365" t="str">
        <f>IF(F$5,COUNTIFS(Residents!$G:$G,$A365,Residents!$ID:$ID,1,Residents!$O:$O,1,Residents!$IH:$IH,1),"")</f>
        <v/>
      </c>
      <c r="G365" t="str">
        <f>IF(G$5,COUNTIFS(Residents!$G:$G,$A365,Residents!$ID:$ID,1,Residents!$O:$O,1,Residents!$IH:$IH,1),"")</f>
        <v/>
      </c>
      <c r="H365" t="str">
        <f>IF(H$5,COUNTIFS(Residents!$G:$G,$A365,Residents!$ID:$ID,1,Residents!$O:$O,1,Residents!$IH:$IH,1),"")</f>
        <v/>
      </c>
      <c r="I365" t="str">
        <f>IF(I$5,COUNTIFS(Residents!$G:$G,$A365,Residents!$ID:$ID,1,Residents!$O:$O,1,Residents!$IH:$IH,1),"")</f>
        <v/>
      </c>
      <c r="J365" t="str">
        <f>IF(J$5,COUNTIFS(Residents!$G:$G,$A365,Residents!$ID:$ID,1,Residents!$O:$O,1,Residents!$IH:$IH,1),"")</f>
        <v/>
      </c>
      <c r="K365" t="str">
        <f>IF(K$5,COUNTIFS(Residents!$G:$G,$A365,Residents!$ID:$ID,1,Residents!$O:$O,1,Residents!$IH:$IH,1),"")</f>
        <v/>
      </c>
      <c r="L365" t="str">
        <f>IF(L$5,COUNTIFS(Residents!$G:$G,$A365,Residents!$ID:$ID,1,Residents!$O:$O,1,Residents!$IH:$IH,1),"")</f>
        <v/>
      </c>
      <c r="M365" t="str">
        <f>IF(M$5,COUNTIFS(Residents!$G:$G,$A365,Residents!$ID:$ID,1,Residents!$O:$O,1,Residents!$IH:$IH,1),"")</f>
        <v/>
      </c>
      <c r="N365" t="str">
        <f>IF(N$5,COUNTIFS(Residents!$G:$G,$A365,Residents!$ID:$ID,1,Residents!$O:$O,1,Residents!$IH:$IH,1),"")</f>
        <v/>
      </c>
      <c r="O365" t="str">
        <f>IF(O$5,COUNTIFS(Residents!$G:$G,$A365,Residents!$ID:$ID,1,Residents!$O:$O,1,Residents!$IH:$IH,1),"")</f>
        <v/>
      </c>
      <c r="P365" t="str">
        <f>IF(P$5,COUNTIFS(Residents!$G:$G,$A365,Residents!$ID:$ID,1,Residents!$O:$O,1,Residents!$IH:$IH,1),"")</f>
        <v/>
      </c>
      <c r="Q365" t="str">
        <f>IF(Q$5,COUNTIFS(Residents!$G:$G,$A365,Residents!$ID:$ID,1,Residents!$O:$O,1,Residents!$IH:$IH,1),"")</f>
        <v/>
      </c>
      <c r="R365" t="str">
        <f>IF(R$5,COUNTIFS(Residents!$G:$G,$A365,Residents!$ID:$ID,1,Residents!$O:$O,1,Residents!$IH:$IH,1),"")</f>
        <v/>
      </c>
    </row>
    <row r="366" spans="1:18" ht="15">
      <c r="A366" t="s">
        <v>40</v>
      </c>
      <c r="B366" t="str">
        <f t="shared" si="57"/>
        <v>Number of individuals with Delirium mental health diagnosis with at least one psychotropic medication order</v>
      </c>
      <c r="C366" t="s">
        <v>55</v>
      </c>
      <c r="E366" t="s">
        <v>465</v>
      </c>
      <c r="F366" t="str">
        <f>IF(F$5,COUNTIFS(Residents!$G:$G,$A366,Residents!$ID:$ID,1,Residents!$P:$P,1,Residents!$IH:$IH,1),"")</f>
        <v/>
      </c>
      <c r="G366" t="str">
        <f>IF(G$5,COUNTIFS(Residents!$G:$G,$A366,Residents!$ID:$ID,1,Residents!$P:$P,1,Residents!$IH:$IH,1),"")</f>
        <v/>
      </c>
      <c r="H366" t="str">
        <f>IF(H$5,COUNTIFS(Residents!$G:$G,$A366,Residents!$ID:$ID,1,Residents!$P:$P,1,Residents!$IH:$IH,1),"")</f>
        <v/>
      </c>
      <c r="I366" t="str">
        <f>IF(I$5,COUNTIFS(Residents!$G:$G,$A366,Residents!$ID:$ID,1,Residents!$P:$P,1,Residents!$IH:$IH,1),"")</f>
        <v/>
      </c>
      <c r="J366" t="str">
        <f>IF(J$5,COUNTIFS(Residents!$G:$G,$A366,Residents!$ID:$ID,1,Residents!$P:$P,1,Residents!$IH:$IH,1),"")</f>
        <v/>
      </c>
      <c r="K366" t="str">
        <f>IF(K$5,COUNTIFS(Residents!$G:$G,$A366,Residents!$ID:$ID,1,Residents!$P:$P,1,Residents!$IH:$IH,1),"")</f>
        <v/>
      </c>
      <c r="L366" t="str">
        <f>IF(L$5,COUNTIFS(Residents!$G:$G,$A366,Residents!$ID:$ID,1,Residents!$P:$P,1,Residents!$IH:$IH,1),"")</f>
        <v/>
      </c>
      <c r="M366" t="str">
        <f>IF(M$5,COUNTIFS(Residents!$G:$G,$A366,Residents!$ID:$ID,1,Residents!$P:$P,1,Residents!$IH:$IH,1),"")</f>
        <v/>
      </c>
      <c r="N366" t="str">
        <f>IF(N$5,COUNTIFS(Residents!$G:$G,$A366,Residents!$ID:$ID,1,Residents!$P:$P,1,Residents!$IH:$IH,1),"")</f>
        <v/>
      </c>
      <c r="O366" t="str">
        <f>IF(O$5,COUNTIFS(Residents!$G:$G,$A366,Residents!$ID:$ID,1,Residents!$P:$P,1,Residents!$IH:$IH,1),"")</f>
        <v/>
      </c>
      <c r="P366" t="str">
        <f>IF(P$5,COUNTIFS(Residents!$G:$G,$A366,Residents!$ID:$ID,1,Residents!$P:$P,1,Residents!$IH:$IH,1),"")</f>
        <v/>
      </c>
      <c r="Q366" t="str">
        <f>IF(Q$5,COUNTIFS(Residents!$G:$G,$A366,Residents!$ID:$ID,1,Residents!$P:$P,1,Residents!$IH:$IH,1),"")</f>
        <v/>
      </c>
      <c r="R366" t="str">
        <f>IF(R$5,COUNTIFS(Residents!$G:$G,$A366,Residents!$ID:$ID,1,Residents!$P:$P,1,Residents!$IH:$IH,1),"")</f>
        <v/>
      </c>
    </row>
    <row r="367" spans="1:18" ht="15">
      <c r="A367" t="s">
        <v>40</v>
      </c>
      <c r="B367" t="str">
        <f t="shared" si="57"/>
        <v>Number of individuals with Depression mental health diagnosis with at least one psychotropic medication order</v>
      </c>
      <c r="C367" t="s">
        <v>56</v>
      </c>
      <c r="E367" t="s">
        <v>465</v>
      </c>
      <c r="F367" t="str">
        <f>IF(F$5,COUNTIFS(Residents!$G:$G,$A367,Residents!$ID:$ID,1,Residents!$Q:$Q,1,Residents!$IH:$IH,1),"")</f>
        <v/>
      </c>
      <c r="G367" t="str">
        <f>IF(G$5,COUNTIFS(Residents!$G:$G,$A367,Residents!$ID:$ID,1,Residents!$Q:$Q,1,Residents!$IH:$IH,1),"")</f>
        <v/>
      </c>
      <c r="H367" t="str">
        <f>IF(H$5,COUNTIFS(Residents!$G:$G,$A367,Residents!$ID:$ID,1,Residents!$Q:$Q,1,Residents!$IH:$IH,1),"")</f>
        <v/>
      </c>
      <c r="I367" t="str">
        <f>IF(I$5,COUNTIFS(Residents!$G:$G,$A367,Residents!$ID:$ID,1,Residents!$Q:$Q,1,Residents!$IH:$IH,1),"")</f>
        <v/>
      </c>
      <c r="J367" t="str">
        <f>IF(J$5,COUNTIFS(Residents!$G:$G,$A367,Residents!$ID:$ID,1,Residents!$Q:$Q,1,Residents!$IH:$IH,1),"")</f>
        <v/>
      </c>
      <c r="K367" t="str">
        <f>IF(K$5,COUNTIFS(Residents!$G:$G,$A367,Residents!$ID:$ID,1,Residents!$Q:$Q,1,Residents!$IH:$IH,1),"")</f>
        <v/>
      </c>
      <c r="L367" t="str">
        <f>IF(L$5,COUNTIFS(Residents!$G:$G,$A367,Residents!$ID:$ID,1,Residents!$Q:$Q,1,Residents!$IH:$IH,1),"")</f>
        <v/>
      </c>
      <c r="M367" t="str">
        <f>IF(M$5,COUNTIFS(Residents!$G:$G,$A367,Residents!$ID:$ID,1,Residents!$Q:$Q,1,Residents!$IH:$IH,1),"")</f>
        <v/>
      </c>
      <c r="N367" t="str">
        <f>IF(N$5,COUNTIFS(Residents!$G:$G,$A367,Residents!$ID:$ID,1,Residents!$Q:$Q,1,Residents!$IH:$IH,1),"")</f>
        <v/>
      </c>
      <c r="O367" t="str">
        <f>IF(O$5,COUNTIFS(Residents!$G:$G,$A367,Residents!$ID:$ID,1,Residents!$Q:$Q,1,Residents!$IH:$IH,1),"")</f>
        <v/>
      </c>
      <c r="P367" t="str">
        <f>IF(P$5,COUNTIFS(Residents!$G:$G,$A367,Residents!$ID:$ID,1,Residents!$Q:$Q,1,Residents!$IH:$IH,1),"")</f>
        <v/>
      </c>
      <c r="Q367" t="str">
        <f>IF(Q$5,COUNTIFS(Residents!$G:$G,$A367,Residents!$ID:$ID,1,Residents!$Q:$Q,1,Residents!$IH:$IH,1),"")</f>
        <v/>
      </c>
      <c r="R367" t="str">
        <f>IF(R$5,COUNTIFS(Residents!$G:$G,$A367,Residents!$ID:$ID,1,Residents!$Q:$Q,1,Residents!$IH:$IH,1),"")</f>
        <v/>
      </c>
    </row>
    <row r="368" spans="1:18" ht="15">
      <c r="A368" t="s">
        <v>40</v>
      </c>
      <c r="B368" t="str">
        <f t="shared" si="57"/>
        <v>Number of individuals with Huntingtons mental health diagnosis with at least one psychotropic medication order</v>
      </c>
      <c r="C368" t="s">
        <v>57</v>
      </c>
      <c r="E368" t="s">
        <v>465</v>
      </c>
      <c r="F368" t="str">
        <f>IF(F$5,COUNTIFS(Residents!$G:$G,$A368,Residents!$ID:$ID,1,Residents!$R:$R,1,Residents!$IH:$IH,1),"")</f>
        <v/>
      </c>
      <c r="G368" t="str">
        <f>IF(G$5,COUNTIFS(Residents!$G:$G,$A368,Residents!$ID:$ID,1,Residents!$R:$R,1,Residents!$IH:$IH,1),"")</f>
        <v/>
      </c>
      <c r="H368" t="str">
        <f>IF(H$5,COUNTIFS(Residents!$G:$G,$A368,Residents!$ID:$ID,1,Residents!$R:$R,1,Residents!$IH:$IH,1),"")</f>
        <v/>
      </c>
      <c r="I368" t="str">
        <f>IF(I$5,COUNTIFS(Residents!$G:$G,$A368,Residents!$ID:$ID,1,Residents!$R:$R,1,Residents!$IH:$IH,1),"")</f>
        <v/>
      </c>
      <c r="J368" t="str">
        <f>IF(J$5,COUNTIFS(Residents!$G:$G,$A368,Residents!$ID:$ID,1,Residents!$R:$R,1,Residents!$IH:$IH,1),"")</f>
        <v/>
      </c>
      <c r="K368" t="str">
        <f>IF(K$5,COUNTIFS(Residents!$G:$G,$A368,Residents!$ID:$ID,1,Residents!$R:$R,1,Residents!$IH:$IH,1),"")</f>
        <v/>
      </c>
      <c r="L368" t="str">
        <f>IF(L$5,COUNTIFS(Residents!$G:$G,$A368,Residents!$ID:$ID,1,Residents!$R:$R,1,Residents!$IH:$IH,1),"")</f>
        <v/>
      </c>
      <c r="M368" t="str">
        <f>IF(M$5,COUNTIFS(Residents!$G:$G,$A368,Residents!$ID:$ID,1,Residents!$R:$R,1,Residents!$IH:$IH,1),"")</f>
        <v/>
      </c>
      <c r="N368" t="str">
        <f>IF(N$5,COUNTIFS(Residents!$G:$G,$A368,Residents!$ID:$ID,1,Residents!$R:$R,1,Residents!$IH:$IH,1),"")</f>
        <v/>
      </c>
      <c r="O368" t="str">
        <f>IF(O$5,COUNTIFS(Residents!$G:$G,$A368,Residents!$ID:$ID,1,Residents!$R:$R,1,Residents!$IH:$IH,1),"")</f>
        <v/>
      </c>
      <c r="P368" t="str">
        <f>IF(P$5,COUNTIFS(Residents!$G:$G,$A368,Residents!$ID:$ID,1,Residents!$R:$R,1,Residents!$IH:$IH,1),"")</f>
        <v/>
      </c>
      <c r="Q368" t="str">
        <f>IF(Q$5,COUNTIFS(Residents!$G:$G,$A368,Residents!$ID:$ID,1,Residents!$R:$R,1,Residents!$IH:$IH,1),"")</f>
        <v/>
      </c>
      <c r="R368" t="str">
        <f>IF(R$5,COUNTIFS(Residents!$G:$G,$A368,Residents!$ID:$ID,1,Residents!$R:$R,1,Residents!$IH:$IH,1),"")</f>
        <v/>
      </c>
    </row>
    <row r="369" spans="1:18" ht="15">
      <c r="A369" t="s">
        <v>40</v>
      </c>
      <c r="B369" t="str">
        <f t="shared" si="57"/>
        <v>Number of individuals with PTSD mental health diagnosis with at least one psychotropic medication order</v>
      </c>
      <c r="C369" t="s">
        <v>58</v>
      </c>
      <c r="E369" t="s">
        <v>465</v>
      </c>
      <c r="F369" t="str">
        <f>IF(F$5,COUNTIFS(Residents!$G:$G,$A369,Residents!$ID:$ID,1,Residents!$S:$S,1,Residents!$IH:$IH,1),"")</f>
        <v/>
      </c>
      <c r="G369" t="str">
        <f>IF(G$5,COUNTIFS(Residents!$G:$G,$A369,Residents!$ID:$ID,1,Residents!$S:$S,1,Residents!$IH:$IH,1),"")</f>
        <v/>
      </c>
      <c r="H369" t="str">
        <f>IF(H$5,COUNTIFS(Residents!$G:$G,$A369,Residents!$ID:$ID,1,Residents!$S:$S,1,Residents!$IH:$IH,1),"")</f>
        <v/>
      </c>
      <c r="I369" t="str">
        <f>IF(I$5,COUNTIFS(Residents!$G:$G,$A369,Residents!$ID:$ID,1,Residents!$S:$S,1,Residents!$IH:$IH,1),"")</f>
        <v/>
      </c>
      <c r="J369" t="str">
        <f>IF(J$5,COUNTIFS(Residents!$G:$G,$A369,Residents!$ID:$ID,1,Residents!$S:$S,1,Residents!$IH:$IH,1),"")</f>
        <v/>
      </c>
      <c r="K369" t="str">
        <f>IF(K$5,COUNTIFS(Residents!$G:$G,$A369,Residents!$ID:$ID,1,Residents!$S:$S,1,Residents!$IH:$IH,1),"")</f>
        <v/>
      </c>
      <c r="L369" t="str">
        <f>IF(L$5,COUNTIFS(Residents!$G:$G,$A369,Residents!$ID:$ID,1,Residents!$S:$S,1,Residents!$IH:$IH,1),"")</f>
        <v/>
      </c>
      <c r="M369" t="str">
        <f>IF(M$5,COUNTIFS(Residents!$G:$G,$A369,Residents!$ID:$ID,1,Residents!$S:$S,1,Residents!$IH:$IH,1),"")</f>
        <v/>
      </c>
      <c r="N369" t="str">
        <f>IF(N$5,COUNTIFS(Residents!$G:$G,$A369,Residents!$ID:$ID,1,Residents!$S:$S,1,Residents!$IH:$IH,1),"")</f>
        <v/>
      </c>
      <c r="O369" t="str">
        <f>IF(O$5,COUNTIFS(Residents!$G:$G,$A369,Residents!$ID:$ID,1,Residents!$S:$S,1,Residents!$IH:$IH,1),"")</f>
        <v/>
      </c>
      <c r="P369" t="str">
        <f>IF(P$5,COUNTIFS(Residents!$G:$G,$A369,Residents!$ID:$ID,1,Residents!$S:$S,1,Residents!$IH:$IH,1),"")</f>
        <v/>
      </c>
      <c r="Q369" t="str">
        <f>IF(Q$5,COUNTIFS(Residents!$G:$G,$A369,Residents!$ID:$ID,1,Residents!$S:$S,1,Residents!$IH:$IH,1),"")</f>
        <v/>
      </c>
      <c r="R369" t="str">
        <f>IF(R$5,COUNTIFS(Residents!$G:$G,$A369,Residents!$ID:$ID,1,Residents!$S:$S,1,Residents!$IH:$IH,1),"")</f>
        <v/>
      </c>
    </row>
    <row r="370" spans="1:18" ht="15">
      <c r="A370" t="s">
        <v>40</v>
      </c>
      <c r="B370" t="str">
        <f t="shared" si="57"/>
        <v>Number of individuals with Schizophrenia mental health diagnosis with at least one psychotropic medication order</v>
      </c>
      <c r="C370" t="s">
        <v>59</v>
      </c>
      <c r="E370" t="s">
        <v>465</v>
      </c>
      <c r="F370" t="str">
        <f>IF(F$5,COUNTIFS(Residents!$G:$G,$A370,Residents!$ID:$ID,1,Residents!$T:$T,1,Residents!$IH:$IH,1),"")</f>
        <v/>
      </c>
      <c r="G370" t="str">
        <f>IF(G$5,COUNTIFS(Residents!$G:$G,$A370,Residents!$ID:$ID,1,Residents!$T:$T,1,Residents!$IH:$IH,1),"")</f>
        <v/>
      </c>
      <c r="H370" t="str">
        <f>IF(H$5,COUNTIFS(Residents!$G:$G,$A370,Residents!$ID:$ID,1,Residents!$T:$T,1,Residents!$IH:$IH,1),"")</f>
        <v/>
      </c>
      <c r="I370" t="str">
        <f>IF(I$5,COUNTIFS(Residents!$G:$G,$A370,Residents!$ID:$ID,1,Residents!$T:$T,1,Residents!$IH:$IH,1),"")</f>
        <v/>
      </c>
      <c r="J370" t="str">
        <f>IF(J$5,COUNTIFS(Residents!$G:$G,$A370,Residents!$ID:$ID,1,Residents!$T:$T,1,Residents!$IH:$IH,1),"")</f>
        <v/>
      </c>
      <c r="K370" t="str">
        <f>IF(K$5,COUNTIFS(Residents!$G:$G,$A370,Residents!$ID:$ID,1,Residents!$T:$T,1,Residents!$IH:$IH,1),"")</f>
        <v/>
      </c>
      <c r="L370" t="str">
        <f>IF(L$5,COUNTIFS(Residents!$G:$G,$A370,Residents!$ID:$ID,1,Residents!$T:$T,1,Residents!$IH:$IH,1),"")</f>
        <v/>
      </c>
      <c r="M370" t="str">
        <f>IF(M$5,COUNTIFS(Residents!$G:$G,$A370,Residents!$ID:$ID,1,Residents!$T:$T,1,Residents!$IH:$IH,1),"")</f>
        <v/>
      </c>
      <c r="N370" t="str">
        <f>IF(N$5,COUNTIFS(Residents!$G:$G,$A370,Residents!$ID:$ID,1,Residents!$T:$T,1,Residents!$IH:$IH,1),"")</f>
        <v/>
      </c>
      <c r="O370" t="str">
        <f>IF(O$5,COUNTIFS(Residents!$G:$G,$A370,Residents!$ID:$ID,1,Residents!$T:$T,1,Residents!$IH:$IH,1),"")</f>
        <v/>
      </c>
      <c r="P370" t="str">
        <f>IF(P$5,COUNTIFS(Residents!$G:$G,$A370,Residents!$ID:$ID,1,Residents!$T:$T,1,Residents!$IH:$IH,1),"")</f>
        <v/>
      </c>
      <c r="Q370" t="str">
        <f>IF(Q$5,COUNTIFS(Residents!$G:$G,$A370,Residents!$ID:$ID,1,Residents!$T:$T,1,Residents!$IH:$IH,1),"")</f>
        <v/>
      </c>
      <c r="R370" t="str">
        <f>IF(R$5,COUNTIFS(Residents!$G:$G,$A370,Residents!$ID:$ID,1,Residents!$T:$T,1,Residents!$IH:$IH,1),"")</f>
        <v/>
      </c>
    </row>
    <row r="371" spans="1:18" ht="15">
      <c r="A371" t="s">
        <v>40</v>
      </c>
      <c r="B371" t="str">
        <f t="shared" si="57"/>
        <v>Number of individuals with Tourettes mental health diagnosis with at least one psychotropic medication order</v>
      </c>
      <c r="C371" t="s">
        <v>60</v>
      </c>
      <c r="E371" t="s">
        <v>465</v>
      </c>
      <c r="F371" t="str">
        <f>IF(F$5,COUNTIFS(Residents!$G:$G,$A371,Residents!$ID:$ID,1,Residents!$U:$U,1,Residents!$IH:$IH,1),"")</f>
        <v/>
      </c>
      <c r="G371" t="str">
        <f>IF(G$5,COUNTIFS(Residents!$G:$G,$A371,Residents!$ID:$ID,1,Residents!$U:$U,1,Residents!$IH:$IH,1),"")</f>
        <v/>
      </c>
      <c r="H371" t="str">
        <f>IF(H$5,COUNTIFS(Residents!$G:$G,$A371,Residents!$ID:$ID,1,Residents!$U:$U,1,Residents!$IH:$IH,1),"")</f>
        <v/>
      </c>
      <c r="I371" t="str">
        <f>IF(I$5,COUNTIFS(Residents!$G:$G,$A371,Residents!$ID:$ID,1,Residents!$U:$U,1,Residents!$IH:$IH,1),"")</f>
        <v/>
      </c>
      <c r="J371" t="str">
        <f>IF(J$5,COUNTIFS(Residents!$G:$G,$A371,Residents!$ID:$ID,1,Residents!$U:$U,1,Residents!$IH:$IH,1),"")</f>
        <v/>
      </c>
      <c r="K371" t="str">
        <f>IF(K$5,COUNTIFS(Residents!$G:$G,$A371,Residents!$ID:$ID,1,Residents!$U:$U,1,Residents!$IH:$IH,1),"")</f>
        <v/>
      </c>
      <c r="L371" t="str">
        <f>IF(L$5,COUNTIFS(Residents!$G:$G,$A371,Residents!$ID:$ID,1,Residents!$U:$U,1,Residents!$IH:$IH,1),"")</f>
        <v/>
      </c>
      <c r="M371" t="str">
        <f>IF(M$5,COUNTIFS(Residents!$G:$G,$A371,Residents!$ID:$ID,1,Residents!$U:$U,1,Residents!$IH:$IH,1),"")</f>
        <v/>
      </c>
      <c r="N371" t="str">
        <f>IF(N$5,COUNTIFS(Residents!$G:$G,$A371,Residents!$ID:$ID,1,Residents!$U:$U,1,Residents!$IH:$IH,1),"")</f>
        <v/>
      </c>
      <c r="O371" t="str">
        <f>IF(O$5,COUNTIFS(Residents!$G:$G,$A371,Residents!$ID:$ID,1,Residents!$U:$U,1,Residents!$IH:$IH,1),"")</f>
        <v/>
      </c>
      <c r="P371" t="str">
        <f>IF(P$5,COUNTIFS(Residents!$G:$G,$A371,Residents!$ID:$ID,1,Residents!$U:$U,1,Residents!$IH:$IH,1),"")</f>
        <v/>
      </c>
      <c r="Q371" t="str">
        <f>IF(Q$5,COUNTIFS(Residents!$G:$G,$A371,Residents!$ID:$ID,1,Residents!$U:$U,1,Residents!$IH:$IH,1),"")</f>
        <v/>
      </c>
      <c r="R371" t="str">
        <f>IF(R$5,COUNTIFS(Residents!$G:$G,$A371,Residents!$ID:$ID,1,Residents!$U:$U,1,Residents!$IH:$IH,1),"")</f>
        <v/>
      </c>
    </row>
    <row r="372" spans="1:18" ht="15">
      <c r="A372" t="s">
        <v>40</v>
      </c>
      <c r="B372" t="str">
        <f t="shared" si="57"/>
        <v>Number of individuals with MHOther mental health diagnosis with at least one psychotropic medication order</v>
      </c>
      <c r="C372" t="s">
        <v>61</v>
      </c>
      <c r="E372" t="s">
        <v>465</v>
      </c>
      <c r="F372" t="str">
        <f>IF(F$5,COUNTIFS(Residents!$G:$G,$A372,Residents!$ID:$ID,1,Residents!$V:$V,1,Residents!$IH:$IH,1),"")</f>
        <v/>
      </c>
      <c r="G372" t="str">
        <f>IF(G$5,COUNTIFS(Residents!$G:$G,$A372,Residents!$ID:$ID,1,Residents!$V:$V,1,Residents!$IH:$IH,1),"")</f>
        <v/>
      </c>
      <c r="H372" t="str">
        <f>IF(H$5,COUNTIFS(Residents!$G:$G,$A372,Residents!$ID:$ID,1,Residents!$V:$V,1,Residents!$IH:$IH,1),"")</f>
        <v/>
      </c>
      <c r="I372" t="str">
        <f>IF(I$5,COUNTIFS(Residents!$G:$G,$A372,Residents!$ID:$ID,1,Residents!$V:$V,1,Residents!$IH:$IH,1),"")</f>
        <v/>
      </c>
      <c r="J372" t="str">
        <f>IF(J$5,COUNTIFS(Residents!$G:$G,$A372,Residents!$ID:$ID,1,Residents!$V:$V,1,Residents!$IH:$IH,1),"")</f>
        <v/>
      </c>
      <c r="K372" t="str">
        <f>IF(K$5,COUNTIFS(Residents!$G:$G,$A372,Residents!$ID:$ID,1,Residents!$V:$V,1,Residents!$IH:$IH,1),"")</f>
        <v/>
      </c>
      <c r="L372" t="str">
        <f>IF(L$5,COUNTIFS(Residents!$G:$G,$A372,Residents!$ID:$ID,1,Residents!$V:$V,1,Residents!$IH:$IH,1),"")</f>
        <v/>
      </c>
      <c r="M372" t="str">
        <f>IF(M$5,COUNTIFS(Residents!$G:$G,$A372,Residents!$ID:$ID,1,Residents!$V:$V,1,Residents!$IH:$IH,1),"")</f>
        <v/>
      </c>
      <c r="N372" t="str">
        <f>IF(N$5,COUNTIFS(Residents!$G:$G,$A372,Residents!$ID:$ID,1,Residents!$V:$V,1,Residents!$IH:$IH,1),"")</f>
        <v/>
      </c>
      <c r="O372" t="str">
        <f>IF(O$5,COUNTIFS(Residents!$G:$G,$A372,Residents!$ID:$ID,1,Residents!$V:$V,1,Residents!$IH:$IH,1),"")</f>
        <v/>
      </c>
      <c r="P372" t="str">
        <f>IF(P$5,COUNTIFS(Residents!$G:$G,$A372,Residents!$ID:$ID,1,Residents!$V:$V,1,Residents!$IH:$IH,1),"")</f>
        <v/>
      </c>
      <c r="Q372" t="str">
        <f>IF(Q$5,COUNTIFS(Residents!$G:$G,$A372,Residents!$ID:$ID,1,Residents!$V:$V,1,Residents!$IH:$IH,1),"")</f>
        <v/>
      </c>
      <c r="R372" t="str">
        <f>IF(R$5,COUNTIFS(Residents!$G:$G,$A372,Residents!$ID:$ID,1,Residents!$V:$V,1,Residents!$IH:$IH,1),"")</f>
        <v/>
      </c>
    </row>
    <row r="373" spans="1:18" ht="15">
      <c r="A373" t="s">
        <v>40</v>
      </c>
      <c r="B373" t="s">
        <v>879</v>
      </c>
      <c r="E373" t="s">
        <v>883</v>
      </c>
      <c r="F373" t="str">
        <f>IF(F$5,COUNTIFS(GDR!$H:$H,$A373,GDR!$K:$K,1),"")</f>
        <v/>
      </c>
      <c r="G373" t="str">
        <f>IF(G$5,COUNTIFS(GDR!$H:$H,$A373,GDR!$K:$K,1),"")</f>
        <v/>
      </c>
      <c r="H373" t="str">
        <f>IF(H$5,COUNTIFS(GDR!$H:$H,$A373,GDR!$K:$K,1),"")</f>
        <v/>
      </c>
      <c r="I373" t="str">
        <f>IF(I$5,COUNTIFS(GDR!$H:$H,$A373,GDR!$K:$K,1),"")</f>
        <v/>
      </c>
      <c r="J373" t="str">
        <f>IF(J$5,COUNTIFS(GDR!$H:$H,$A373,GDR!$K:$K,1),"")</f>
        <v/>
      </c>
      <c r="K373" t="str">
        <f>IF(K$5,COUNTIFS(GDR!$H:$H,$A373,GDR!$K:$K,1),"")</f>
        <v/>
      </c>
      <c r="L373" t="str">
        <f>IF(L$5,COUNTIFS(GDR!$H:$H,$A373,GDR!$K:$K,1),"")</f>
        <v/>
      </c>
      <c r="M373" t="str">
        <f>IF(M$5,COUNTIFS(GDR!$H:$H,$A373,GDR!$K:$K,1),"")</f>
        <v/>
      </c>
      <c r="N373" t="str">
        <f>IF(N$5,COUNTIFS(GDR!$H:$H,$A373,GDR!$K:$K,1),"")</f>
        <v/>
      </c>
      <c r="O373" t="str">
        <f>IF(O$5,COUNTIFS(GDR!$H:$H,$A373,GDR!$K:$K,1),"")</f>
        <v/>
      </c>
      <c r="P373" t="str">
        <f>IF(P$5,COUNTIFS(GDR!$H:$H,$A373,GDR!$K:$K,1),"")</f>
        <v/>
      </c>
      <c r="Q373" t="str">
        <f>IF(Q$5,COUNTIFS(GDR!$H:$H,$A373,GDR!$K:$K,1),"")</f>
        <v/>
      </c>
      <c r="R373" t="str">
        <f>IF(R$5,COUNTIFS(GDR!$H:$H,$A373,GDR!$K:$K,1),"")</f>
        <v/>
      </c>
    </row>
    <row r="374" spans="1:18" ht="15">
      <c r="A374" t="s">
        <v>40</v>
      </c>
      <c r="B374" t="s">
        <v>880</v>
      </c>
      <c r="E374" t="s">
        <v>882</v>
      </c>
      <c r="F374" t="str">
        <f>IF(F$5,COUNTIFS(GDR!$H:$H,$A374,GDR!$I:$I,1),"")</f>
        <v/>
      </c>
      <c r="G374" t="str">
        <f>IF(G$5,COUNTIFS(GDR!$H:$H,$A374,GDR!$I:$I,1),"")</f>
        <v/>
      </c>
      <c r="H374" t="str">
        <f>IF(H$5,COUNTIFS(GDR!$H:$H,$A374,GDR!$I:$I,1),"")</f>
        <v/>
      </c>
      <c r="I374" t="str">
        <f>IF(I$5,COUNTIFS(GDR!$H:$H,$A374,GDR!$I:$I,1),"")</f>
        <v/>
      </c>
      <c r="J374" t="str">
        <f>IF(J$5,COUNTIFS(GDR!$H:$H,$A374,GDR!$I:$I,1),"")</f>
        <v/>
      </c>
      <c r="K374" t="str">
        <f>IF(K$5,COUNTIFS(GDR!$H:$H,$A374,GDR!$I:$I,1),"")</f>
        <v/>
      </c>
      <c r="L374" t="str">
        <f>IF(L$5,COUNTIFS(GDR!$H:$H,$A374,GDR!$I:$I,1),"")</f>
        <v/>
      </c>
      <c r="M374" t="str">
        <f>IF(M$5,COUNTIFS(GDR!$H:$H,$A374,GDR!$I:$I,1),"")</f>
        <v/>
      </c>
      <c r="N374" t="str">
        <f>IF(N$5,COUNTIFS(GDR!$H:$H,$A374,GDR!$I:$I,1),"")</f>
        <v/>
      </c>
      <c r="O374" t="str">
        <f>IF(O$5,COUNTIFS(GDR!$H:$H,$A374,GDR!$I:$I,1),"")</f>
        <v/>
      </c>
      <c r="P374" t="str">
        <f>IF(P$5,COUNTIFS(GDR!$H:$H,$A374,GDR!$I:$I,1),"")</f>
        <v/>
      </c>
      <c r="Q374" t="str">
        <f>IF(Q$5,COUNTIFS(GDR!$H:$H,$A374,GDR!$I:$I,1),"")</f>
        <v/>
      </c>
      <c r="R374" t="str">
        <f>IF(R$5,COUNTIFS(GDR!$H:$H,$A374,GDR!$I:$I,1),"")</f>
        <v/>
      </c>
    </row>
    <row r="375" spans="1:18" ht="15">
      <c r="A375" t="s">
        <v>40</v>
      </c>
      <c r="B375" t="str">
        <f>"Number of GDRs completed this month with "&amp;C375</f>
        <v>Number of GDRs completed this month with No change in dose</v>
      </c>
      <c r="C375" t="s">
        <v>222</v>
      </c>
      <c r="E375" t="s">
        <v>881</v>
      </c>
      <c r="F375" t="str">
        <f>IF(F$5,COUNTIFS(GDR!$H:$H,$A375,GDR!$J:$J,1,GDR!$F:$F,$C375),"")</f>
        <v/>
      </c>
      <c r="G375" t="str">
        <f>IF(G$5,COUNTIFS(GDR!$H:$H,$A375,GDR!$J:$J,1,GDR!$F:$F,$C375),"")</f>
        <v/>
      </c>
      <c r="H375" t="str">
        <f>IF(H$5,COUNTIFS(GDR!$H:$H,$A375,GDR!$J:$J,1,GDR!$F:$F,$C375),"")</f>
        <v/>
      </c>
      <c r="I375" t="str">
        <f>IF(I$5,COUNTIFS(GDR!$H:$H,$A375,GDR!$J:$J,1,GDR!$F:$F,$C375),"")</f>
        <v/>
      </c>
      <c r="J375" t="str">
        <f>IF(J$5,COUNTIFS(GDR!$H:$H,$A375,GDR!$J:$J,1,GDR!$F:$F,$C375),"")</f>
        <v/>
      </c>
      <c r="K375" t="str">
        <f>IF(K$5,COUNTIFS(GDR!$H:$H,$A375,GDR!$J:$J,1,GDR!$F:$F,$C375),"")</f>
        <v/>
      </c>
      <c r="L375" t="str">
        <f>IF(L$5,COUNTIFS(GDR!$H:$H,$A375,GDR!$J:$J,1,GDR!$F:$F,$C375),"")</f>
        <v/>
      </c>
      <c r="M375" t="str">
        <f>IF(M$5,COUNTIFS(GDR!$H:$H,$A375,GDR!$J:$J,1,GDR!$F:$F,$C375),"")</f>
        <v/>
      </c>
      <c r="N375" t="str">
        <f>IF(N$5,COUNTIFS(GDR!$H:$H,$A375,GDR!$J:$J,1,GDR!$F:$F,$C375),"")</f>
        <v/>
      </c>
      <c r="O375" t="str">
        <f>IF(O$5,COUNTIFS(GDR!$H:$H,$A375,GDR!$J:$J,1,GDR!$F:$F,$C375),"")</f>
        <v/>
      </c>
      <c r="P375" t="str">
        <f>IF(P$5,COUNTIFS(GDR!$H:$H,$A375,GDR!$J:$J,1,GDR!$F:$F,$C375),"")</f>
        <v/>
      </c>
      <c r="Q375" t="str">
        <f>IF(Q$5,COUNTIFS(GDR!$H:$H,$A375,GDR!$J:$J,1,GDR!$F:$F,$C375),"")</f>
        <v/>
      </c>
      <c r="R375" t="str">
        <f>IF(R$5,COUNTIFS(GDR!$H:$H,$A375,GDR!$J:$J,1,GDR!$F:$F,$C375),"")</f>
        <v/>
      </c>
    </row>
    <row r="376" spans="1:18" ht="15">
      <c r="A376" t="s">
        <v>40</v>
      </c>
      <c r="B376" t="str">
        <f>"Number of GDRs completed this month with "&amp;C376</f>
        <v>Number of GDRs completed this month with Dose reduced</v>
      </c>
      <c r="C376" t="s">
        <v>223</v>
      </c>
      <c r="E376" t="s">
        <v>881</v>
      </c>
      <c r="F376" t="str">
        <f>IF(F$5,COUNTIFS(GDR!$H:$H,$A376,GDR!$J:$J,1,GDR!$F:$F,$C376),"")</f>
        <v/>
      </c>
      <c r="G376" t="str">
        <f>IF(G$5,COUNTIFS(GDR!$H:$H,$A376,GDR!$J:$J,1,GDR!$F:$F,$C376),"")</f>
        <v/>
      </c>
      <c r="H376" t="str">
        <f>IF(H$5,COUNTIFS(GDR!$H:$H,$A376,GDR!$J:$J,1,GDR!$F:$F,$C376),"")</f>
        <v/>
      </c>
      <c r="I376" t="str">
        <f>IF(I$5,COUNTIFS(GDR!$H:$H,$A376,GDR!$J:$J,1,GDR!$F:$F,$C376),"")</f>
        <v/>
      </c>
      <c r="J376" t="str">
        <f>IF(J$5,COUNTIFS(GDR!$H:$H,$A376,GDR!$J:$J,1,GDR!$F:$F,$C376),"")</f>
        <v/>
      </c>
      <c r="K376" t="str">
        <f>IF(K$5,COUNTIFS(GDR!$H:$H,$A376,GDR!$J:$J,1,GDR!$F:$F,$C376),"")</f>
        <v/>
      </c>
      <c r="L376" t="str">
        <f>IF(L$5,COUNTIFS(GDR!$H:$H,$A376,GDR!$J:$J,1,GDR!$F:$F,$C376),"")</f>
        <v/>
      </c>
      <c r="M376" t="str">
        <f>IF(M$5,COUNTIFS(GDR!$H:$H,$A376,GDR!$J:$J,1,GDR!$F:$F,$C376),"")</f>
        <v/>
      </c>
      <c r="N376" t="str">
        <f>IF(N$5,COUNTIFS(GDR!$H:$H,$A376,GDR!$J:$J,1,GDR!$F:$F,$C376),"")</f>
        <v/>
      </c>
      <c r="O376" t="str">
        <f>IF(O$5,COUNTIFS(GDR!$H:$H,$A376,GDR!$J:$J,1,GDR!$F:$F,$C376),"")</f>
        <v/>
      </c>
      <c r="P376" t="str">
        <f>IF(P$5,COUNTIFS(GDR!$H:$H,$A376,GDR!$J:$J,1,GDR!$F:$F,$C376),"")</f>
        <v/>
      </c>
      <c r="Q376" t="str">
        <f>IF(Q$5,COUNTIFS(GDR!$H:$H,$A376,GDR!$J:$J,1,GDR!$F:$F,$C376),"")</f>
        <v/>
      </c>
      <c r="R376" t="str">
        <f>IF(R$5,COUNTIFS(GDR!$H:$H,$A376,GDR!$J:$J,1,GDR!$F:$F,$C376),"")</f>
        <v/>
      </c>
    </row>
    <row r="377" spans="1:18" ht="15">
      <c r="A377" t="s">
        <v>40</v>
      </c>
      <c r="B377" t="str">
        <f>"Number of GDRs completed this month with "&amp;C377</f>
        <v>Number of GDRs completed this month with Dose increased</v>
      </c>
      <c r="C377" t="s">
        <v>224</v>
      </c>
      <c r="E377" t="s">
        <v>881</v>
      </c>
      <c r="F377" t="str">
        <f>IF(F$5,COUNTIFS(GDR!$H:$H,$A377,GDR!$J:$J,1,GDR!$F:$F,$C377),"")</f>
        <v/>
      </c>
      <c r="G377" t="str">
        <f>IF(G$5,COUNTIFS(GDR!$H:$H,$A377,GDR!$J:$J,1,GDR!$F:$F,$C377),"")</f>
        <v/>
      </c>
      <c r="H377" t="str">
        <f>IF(H$5,COUNTIFS(GDR!$H:$H,$A377,GDR!$J:$J,1,GDR!$F:$F,$C377),"")</f>
        <v/>
      </c>
      <c r="I377" t="str">
        <f>IF(I$5,COUNTIFS(GDR!$H:$H,$A377,GDR!$J:$J,1,GDR!$F:$F,$C377),"")</f>
        <v/>
      </c>
      <c r="J377" t="str">
        <f>IF(J$5,COUNTIFS(GDR!$H:$H,$A377,GDR!$J:$J,1,GDR!$F:$F,$C377),"")</f>
        <v/>
      </c>
      <c r="K377" t="str">
        <f>IF(K$5,COUNTIFS(GDR!$H:$H,$A377,GDR!$J:$J,1,GDR!$F:$F,$C377),"")</f>
        <v/>
      </c>
      <c r="L377" t="str">
        <f>IF(L$5,COUNTIFS(GDR!$H:$H,$A377,GDR!$J:$J,1,GDR!$F:$F,$C377),"")</f>
        <v/>
      </c>
      <c r="M377" t="str">
        <f>IF(M$5,COUNTIFS(GDR!$H:$H,$A377,GDR!$J:$J,1,GDR!$F:$F,$C377),"")</f>
        <v/>
      </c>
      <c r="N377" t="str">
        <f>IF(N$5,COUNTIFS(GDR!$H:$H,$A377,GDR!$J:$J,1,GDR!$F:$F,$C377),"")</f>
        <v/>
      </c>
      <c r="O377" t="str">
        <f>IF(O$5,COUNTIFS(GDR!$H:$H,$A377,GDR!$J:$J,1,GDR!$F:$F,$C377),"")</f>
        <v/>
      </c>
      <c r="P377" t="str">
        <f>IF(P$5,COUNTIFS(GDR!$H:$H,$A377,GDR!$J:$J,1,GDR!$F:$F,$C377),"")</f>
        <v/>
      </c>
      <c r="Q377" t="str">
        <f>IF(Q$5,COUNTIFS(GDR!$H:$H,$A377,GDR!$J:$J,1,GDR!$F:$F,$C377),"")</f>
        <v/>
      </c>
      <c r="R377" t="str">
        <f>IF(R$5,COUNTIFS(GDR!$H:$H,$A377,GDR!$J:$J,1,GDR!$F:$F,$C377),"")</f>
        <v/>
      </c>
    </row>
    <row r="378" spans="1:18" ht="15">
      <c r="A378" t="s">
        <v>40</v>
      </c>
      <c r="B378" t="str">
        <f>"Number of GDRs completed this month with "&amp;C378</f>
        <v>Number of GDRs completed this month with Medication d/c, other medication added</v>
      </c>
      <c r="C378" t="s">
        <v>225</v>
      </c>
      <c r="E378" t="s">
        <v>881</v>
      </c>
      <c r="F378" t="str">
        <f>IF(F$5,COUNTIFS(GDR!$H:$H,$A378,GDR!$J:$J,1,GDR!$F:$F,$C378),"")</f>
        <v/>
      </c>
      <c r="G378" t="str">
        <f>IF(G$5,COUNTIFS(GDR!$H:$H,$A378,GDR!$J:$J,1,GDR!$F:$F,$C378),"")</f>
        <v/>
      </c>
      <c r="H378" t="str">
        <f>IF(H$5,COUNTIFS(GDR!$H:$H,$A378,GDR!$J:$J,1,GDR!$F:$F,$C378),"")</f>
        <v/>
      </c>
      <c r="I378" t="str">
        <f>IF(I$5,COUNTIFS(GDR!$H:$H,$A378,GDR!$J:$J,1,GDR!$F:$F,$C378),"")</f>
        <v/>
      </c>
      <c r="J378" t="str">
        <f>IF(J$5,COUNTIFS(GDR!$H:$H,$A378,GDR!$J:$J,1,GDR!$F:$F,$C378),"")</f>
        <v/>
      </c>
      <c r="K378" t="str">
        <f>IF(K$5,COUNTIFS(GDR!$H:$H,$A378,GDR!$J:$J,1,GDR!$F:$F,$C378),"")</f>
        <v/>
      </c>
      <c r="L378" t="str">
        <f>IF(L$5,COUNTIFS(GDR!$H:$H,$A378,GDR!$J:$J,1,GDR!$F:$F,$C378),"")</f>
        <v/>
      </c>
      <c r="M378" t="str">
        <f>IF(M$5,COUNTIFS(GDR!$H:$H,$A378,GDR!$J:$J,1,GDR!$F:$F,$C378),"")</f>
        <v/>
      </c>
      <c r="N378" t="str">
        <f>IF(N$5,COUNTIFS(GDR!$H:$H,$A378,GDR!$J:$J,1,GDR!$F:$F,$C378),"")</f>
        <v/>
      </c>
      <c r="O378" t="str">
        <f>IF(O$5,COUNTIFS(GDR!$H:$H,$A378,GDR!$J:$J,1,GDR!$F:$F,$C378),"")</f>
        <v/>
      </c>
      <c r="P378" t="str">
        <f>IF(P$5,COUNTIFS(GDR!$H:$H,$A378,GDR!$J:$J,1,GDR!$F:$F,$C378),"")</f>
        <v/>
      </c>
      <c r="Q378" t="str">
        <f>IF(Q$5,COUNTIFS(GDR!$H:$H,$A378,GDR!$J:$J,1,GDR!$F:$F,$C378),"")</f>
        <v/>
      </c>
      <c r="R378" t="str">
        <f>IF(R$5,COUNTIFS(GDR!$H:$H,$A378,GDR!$J:$J,1,GDR!$F:$F,$C378),"")</f>
        <v/>
      </c>
    </row>
    <row r="379" spans="1:18" ht="15">
      <c r="A379" t="s">
        <v>40</v>
      </c>
      <c r="B379" t="str">
        <f>"Number of GDRs completed this month with "&amp;C379</f>
        <v>Number of GDRs completed this month with Medication d/c, no added medications</v>
      </c>
      <c r="C379" t="s">
        <v>226</v>
      </c>
      <c r="E379" t="s">
        <v>881</v>
      </c>
      <c r="F379" t="str">
        <f>IF(F$5,COUNTIFS(GDR!$H:$H,$A379,GDR!$J:$J,1,GDR!$F:$F,$C379),"")</f>
        <v/>
      </c>
      <c r="G379" t="str">
        <f>IF(G$5,COUNTIFS(GDR!$H:$H,$A379,GDR!$J:$J,1,GDR!$F:$F,$C379),"")</f>
        <v/>
      </c>
      <c r="H379" t="str">
        <f>IF(H$5,COUNTIFS(GDR!$H:$H,$A379,GDR!$J:$J,1,GDR!$F:$F,$C379),"")</f>
        <v/>
      </c>
      <c r="I379" t="str">
        <f>IF(I$5,COUNTIFS(GDR!$H:$H,$A379,GDR!$J:$J,1,GDR!$F:$F,$C379),"")</f>
        <v/>
      </c>
      <c r="J379" t="str">
        <f>IF(J$5,COUNTIFS(GDR!$H:$H,$A379,GDR!$J:$J,1,GDR!$F:$F,$C379),"")</f>
        <v/>
      </c>
      <c r="K379" t="str">
        <f>IF(K$5,COUNTIFS(GDR!$H:$H,$A379,GDR!$J:$J,1,GDR!$F:$F,$C379),"")</f>
        <v/>
      </c>
      <c r="L379" t="str">
        <f>IF(L$5,COUNTIFS(GDR!$H:$H,$A379,GDR!$J:$J,1,GDR!$F:$F,$C379),"")</f>
        <v/>
      </c>
      <c r="M379" t="str">
        <f>IF(M$5,COUNTIFS(GDR!$H:$H,$A379,GDR!$J:$J,1,GDR!$F:$F,$C379),"")</f>
        <v/>
      </c>
      <c r="N379" t="str">
        <f>IF(N$5,COUNTIFS(GDR!$H:$H,$A379,GDR!$J:$J,1,GDR!$F:$F,$C379),"")</f>
        <v/>
      </c>
      <c r="O379" t="str">
        <f>IF(O$5,COUNTIFS(GDR!$H:$H,$A379,GDR!$J:$J,1,GDR!$F:$F,$C379),"")</f>
        <v/>
      </c>
      <c r="P379" t="str">
        <f>IF(P$5,COUNTIFS(GDR!$H:$H,$A379,GDR!$J:$J,1,GDR!$F:$F,$C379),"")</f>
        <v/>
      </c>
      <c r="Q379" t="str">
        <f>IF(Q$5,COUNTIFS(GDR!$H:$H,$A379,GDR!$J:$J,1,GDR!$F:$F,$C379),"")</f>
        <v/>
      </c>
      <c r="R379" t="str">
        <f>IF(R$5,COUNTIFS(GDR!$H:$H,$A379,GDR!$J:$J,1,GDR!$F:$F,$C379),"")</f>
        <v/>
      </c>
    </row>
    <row r="380" spans="1:18" ht="15">
      <c r="A380" t="s">
        <v>40</v>
      </c>
      <c r="B380" t="s">
        <v>888</v>
      </c>
      <c r="E380" t="s">
        <v>881</v>
      </c>
      <c r="F380" t="str">
        <f>IF(F$5,COUNTIFS(GDR!$H:$H,$A380,GDR!$L:$L,1),"")</f>
        <v/>
      </c>
      <c r="G380" t="str">
        <f>IF(G$5,COUNTIFS(GDR!$H:$H,$A380,GDR!$L:$L,1),"")</f>
        <v/>
      </c>
      <c r="H380" t="str">
        <f>IF(H$5,COUNTIFS(GDR!$H:$H,$A380,GDR!$L:$L,1),"")</f>
        <v/>
      </c>
      <c r="I380" t="str">
        <f>IF(I$5,COUNTIFS(GDR!$H:$H,$A380,GDR!$L:$L,1),"")</f>
        <v/>
      </c>
      <c r="J380" t="str">
        <f>IF(J$5,COUNTIFS(GDR!$H:$H,$A380,GDR!$L:$L,1),"")</f>
        <v/>
      </c>
      <c r="K380" t="str">
        <f>IF(K$5,COUNTIFS(GDR!$H:$H,$A380,GDR!$L:$L,1),"")</f>
        <v/>
      </c>
      <c r="L380" t="str">
        <f>IF(L$5,COUNTIFS(GDR!$H:$H,$A380,GDR!$L:$L,1),"")</f>
        <v/>
      </c>
      <c r="M380" t="str">
        <f>IF(M$5,COUNTIFS(GDR!$H:$H,$A380,GDR!$L:$L,1),"")</f>
        <v/>
      </c>
      <c r="N380" t="str">
        <f>IF(N$5,COUNTIFS(GDR!$H:$H,$A380,GDR!$L:$L,1),"")</f>
        <v/>
      </c>
      <c r="O380" t="str">
        <f>IF(O$5,COUNTIFS(GDR!$H:$H,$A380,GDR!$L:$L,1),"")</f>
        <v/>
      </c>
      <c r="P380" t="str">
        <f>IF(P$5,COUNTIFS(GDR!$H:$H,$A380,GDR!$L:$L,1),"")</f>
        <v/>
      </c>
      <c r="Q380" t="str">
        <f>IF(Q$5,COUNTIFS(GDR!$H:$H,$A380,GDR!$L:$L,1),"")</f>
        <v/>
      </c>
      <c r="R380" t="str">
        <f>IF(R$5,COUNTIFS(GDR!$H:$H,$A380,GDR!$L:$L,1),"")</f>
        <v/>
      </c>
    </row>
    <row r="381" spans="1:18" ht="15">
      <c r="A381" t="s">
        <v>40</v>
      </c>
      <c r="B381" t="s">
        <v>889</v>
      </c>
      <c r="E381" t="s">
        <v>881</v>
      </c>
      <c r="F381" t="str">
        <f>IF(F$5,COUNTIFS(GDR!$H:$H,$A381,GDR!$L:$L,1,GDR!$G:$G,"&lt;&gt;"&amp;""),"")</f>
        <v/>
      </c>
      <c r="G381" t="str">
        <f>IF(G$5,COUNTIFS(GDR!$H:$H,$A381,GDR!$L:$L,1,GDR!$G:$G,"&lt;&gt;"&amp;""),"")</f>
        <v/>
      </c>
      <c r="H381" t="str">
        <f>IF(H$5,COUNTIFS(GDR!$H:$H,$A381,GDR!$L:$L,1,GDR!$G:$G,"&lt;&gt;"&amp;""),"")</f>
        <v/>
      </c>
      <c r="I381" t="str">
        <f>IF(I$5,COUNTIFS(GDR!$H:$H,$A381,GDR!$L:$L,1,GDR!$G:$G,"&lt;&gt;"&amp;""),"")</f>
        <v/>
      </c>
      <c r="J381" t="str">
        <f>IF(J$5,COUNTIFS(GDR!$H:$H,$A381,GDR!$L:$L,1,GDR!$G:$G,"&lt;&gt;"&amp;""),"")</f>
        <v/>
      </c>
      <c r="K381" t="str">
        <f>IF(K$5,COUNTIFS(GDR!$H:$H,$A381,GDR!$L:$L,1,GDR!$G:$G,"&lt;&gt;"&amp;""),"")</f>
        <v/>
      </c>
      <c r="L381" t="str">
        <f>IF(L$5,COUNTIFS(GDR!$H:$H,$A381,GDR!$L:$L,1,GDR!$G:$G,"&lt;&gt;"&amp;""),"")</f>
        <v/>
      </c>
      <c r="M381" t="str">
        <f>IF(M$5,COUNTIFS(GDR!$H:$H,$A381,GDR!$L:$L,1,GDR!$G:$G,"&lt;&gt;"&amp;""),"")</f>
        <v/>
      </c>
      <c r="N381" t="str">
        <f>IF(N$5,COUNTIFS(GDR!$H:$H,$A381,GDR!$L:$L,1,GDR!$G:$G,"&lt;&gt;"&amp;""),"")</f>
        <v/>
      </c>
      <c r="O381" t="str">
        <f>IF(O$5,COUNTIFS(GDR!$H:$H,$A381,GDR!$L:$L,1,GDR!$G:$G,"&lt;&gt;"&amp;""),"")</f>
        <v/>
      </c>
      <c r="P381" t="str">
        <f>IF(P$5,COUNTIFS(GDR!$H:$H,$A381,GDR!$L:$L,1,GDR!$G:$G,"&lt;&gt;"&amp;""),"")</f>
        <v/>
      </c>
      <c r="Q381" t="str">
        <f>IF(Q$5,COUNTIFS(GDR!$H:$H,$A381,GDR!$L:$L,1,GDR!$G:$G,"&lt;&gt;"&amp;""),"")</f>
        <v/>
      </c>
      <c r="R381" t="str">
        <f>IF(R$5,COUNTIFS(GDR!$H:$H,$A381,GDR!$L:$L,1,GDR!$G:$G,"&lt;&gt;"&amp;""),"")</f>
        <v/>
      </c>
    </row>
    <row r="382" spans="1:18" ht="15">
      <c r="A382" t="s">
        <v>40</v>
      </c>
      <c r="B382" t="s">
        <v>890</v>
      </c>
      <c r="E382" t="s">
        <v>881</v>
      </c>
      <c r="F382" t="str">
        <f>IF(F$5,COUNTIFS(GDR!$H:$H,$A382,GDR!$L:$L,1,GDR!$G:$G,""),"")</f>
        <v/>
      </c>
      <c r="G382" t="str">
        <f>IF(G$5,COUNTIFS(GDR!$H:$H,$A382,GDR!$L:$L,1,GDR!$G:$G,""),"")</f>
        <v/>
      </c>
      <c r="H382" t="str">
        <f>IF(H$5,COUNTIFS(GDR!$H:$H,$A382,GDR!$L:$L,1,GDR!$G:$G,""),"")</f>
        <v/>
      </c>
      <c r="I382" t="str">
        <f>IF(I$5,COUNTIFS(GDR!$H:$H,$A382,GDR!$L:$L,1,GDR!$G:$G,""),"")</f>
        <v/>
      </c>
      <c r="J382" t="str">
        <f>IF(J$5,COUNTIFS(GDR!$H:$H,$A382,GDR!$L:$L,1,GDR!$G:$G,""),"")</f>
        <v/>
      </c>
      <c r="K382" t="str">
        <f>IF(K$5,COUNTIFS(GDR!$H:$H,$A382,GDR!$L:$L,1,GDR!$G:$G,""),"")</f>
        <v/>
      </c>
      <c r="L382" t="str">
        <f>IF(L$5,COUNTIFS(GDR!$H:$H,$A382,GDR!$L:$L,1,GDR!$G:$G,""),"")</f>
        <v/>
      </c>
      <c r="M382" t="str">
        <f>IF(M$5,COUNTIFS(GDR!$H:$H,$A382,GDR!$L:$L,1,GDR!$G:$G,""),"")</f>
        <v/>
      </c>
      <c r="N382" t="str">
        <f>IF(N$5,COUNTIFS(GDR!$H:$H,$A382,GDR!$L:$L,1,GDR!$G:$G,""),"")</f>
        <v/>
      </c>
      <c r="O382" t="str">
        <f>IF(O$5,COUNTIFS(GDR!$H:$H,$A382,GDR!$L:$L,1,GDR!$G:$G,""),"")</f>
        <v/>
      </c>
      <c r="P382" t="str">
        <f>IF(P$5,COUNTIFS(GDR!$H:$H,$A382,GDR!$L:$L,1,GDR!$G:$G,""),"")</f>
        <v/>
      </c>
      <c r="Q382" t="str">
        <f>IF(Q$5,COUNTIFS(GDR!$H:$H,$A382,GDR!$L:$L,1,GDR!$G:$G,""),"")</f>
        <v/>
      </c>
      <c r="R382" t="str">
        <f>IF(R$5,COUNTIFS(GDR!$H:$H,$A382,GDR!$L:$L,1,GDR!$G:$G,""),"")</f>
        <v/>
      </c>
    </row>
  </sheetData>
  <sheetProtection sort="0" autoFilter="0"/>
  <mergeCells count="5">
    <mergeCell ref="A1:E1"/>
    <mergeCell ref="A2:E2"/>
    <mergeCell ref="A3:E3"/>
    <mergeCell ref="A4:E4"/>
    <mergeCell ref="A5:E5"/>
  </mergeCells>
  <printOptions gridLines="1"/>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T1"/>
  <sheetViews>
    <sheetView showGridLines="0" showRowColHeaders="0" workbookViewId="0" topLeftCell="ID1">
      <pane ySplit="1" topLeftCell="A2" activePane="bottomLeft" state="frozen"/>
      <selection pane="bottomLeft" activeCell="IS11" sqref="IS11"/>
    </sheetView>
  </sheetViews>
  <sheetFormatPr defaultColWidth="9.140625" defaultRowHeight="15"/>
  <cols>
    <col min="1" max="3" width="10.7109375" style="54" bestFit="1" customWidth="1"/>
    <col min="4" max="6" width="10.7109375" style="54" customWidth="1"/>
    <col min="7" max="9" width="9.140625" style="54" customWidth="1"/>
    <col min="10" max="10" width="10.7109375" style="54" customWidth="1"/>
    <col min="11" max="89" width="9.140625" style="54" customWidth="1"/>
    <col min="90" max="90" width="10.7109375" style="54" bestFit="1" customWidth="1"/>
    <col min="91" max="109" width="9.140625" style="54" customWidth="1"/>
    <col min="110" max="111" width="10.28125" style="54" bestFit="1" customWidth="1"/>
    <col min="112" max="203" width="9.140625" style="54" customWidth="1"/>
    <col min="204" max="204" width="10.7109375" style="54" bestFit="1" customWidth="1"/>
    <col min="205" max="222" width="9.140625" style="54" customWidth="1"/>
    <col min="223" max="223" width="18.140625" style="54" bestFit="1" customWidth="1"/>
    <col min="224" max="224" width="9.140625" style="54" customWidth="1"/>
    <col min="225" max="225" width="10.7109375" style="54" bestFit="1" customWidth="1"/>
    <col min="226" max="252" width="9.140625" style="54" customWidth="1"/>
    <col min="253" max="253" width="9.140625" style="55" customWidth="1"/>
  </cols>
  <sheetData>
    <row r="1" spans="1:254" ht="15">
      <c r="A1" s="54" t="s">
        <v>1</v>
      </c>
      <c r="B1" s="54" t="s">
        <v>0</v>
      </c>
      <c r="C1" s="54" t="s">
        <v>49</v>
      </c>
      <c r="D1" s="54" t="s">
        <v>402</v>
      </c>
      <c r="E1" s="54" t="s">
        <v>390</v>
      </c>
      <c r="F1" s="54" t="s">
        <v>447</v>
      </c>
      <c r="G1" s="54" t="s">
        <v>50</v>
      </c>
      <c r="H1" s="54" t="s">
        <v>243</v>
      </c>
      <c r="I1" s="54" t="s">
        <v>445</v>
      </c>
      <c r="J1" s="54" t="s">
        <v>52</v>
      </c>
      <c r="K1" s="54" t="s">
        <v>51</v>
      </c>
      <c r="L1" s="54" t="s">
        <v>90</v>
      </c>
      <c r="M1" s="54" t="s">
        <v>53</v>
      </c>
      <c r="N1" s="54" t="s">
        <v>34</v>
      </c>
      <c r="O1" s="54" t="s">
        <v>54</v>
      </c>
      <c r="P1" s="54" t="s">
        <v>55</v>
      </c>
      <c r="Q1" s="54" t="s">
        <v>56</v>
      </c>
      <c r="R1" s="54" t="s">
        <v>57</v>
      </c>
      <c r="S1" s="54" t="s">
        <v>58</v>
      </c>
      <c r="T1" s="54" t="s">
        <v>59</v>
      </c>
      <c r="U1" s="54" t="s">
        <v>60</v>
      </c>
      <c r="V1" s="54" t="s">
        <v>61</v>
      </c>
      <c r="W1" s="54" t="s">
        <v>91</v>
      </c>
      <c r="X1" s="54" t="s">
        <v>938</v>
      </c>
      <c r="Y1" s="54" t="s">
        <v>231</v>
      </c>
      <c r="Z1" s="54" t="s">
        <v>232</v>
      </c>
      <c r="AA1" s="54" t="s">
        <v>233</v>
      </c>
      <c r="AB1" s="54" t="s">
        <v>234</v>
      </c>
      <c r="AC1" s="54" t="s">
        <v>235</v>
      </c>
      <c r="AD1" s="54" t="s">
        <v>236</v>
      </c>
      <c r="AE1" s="54" t="s">
        <v>237</v>
      </c>
      <c r="AF1" s="54" t="s">
        <v>238</v>
      </c>
      <c r="AG1" s="54" t="s">
        <v>239</v>
      </c>
      <c r="AH1" s="54" t="s">
        <v>240</v>
      </c>
      <c r="AI1" s="54" t="s">
        <v>241</v>
      </c>
      <c r="AJ1" s="54" t="s">
        <v>62</v>
      </c>
      <c r="AK1" s="54" t="s">
        <v>63</v>
      </c>
      <c r="AL1" s="54" t="s">
        <v>64</v>
      </c>
      <c r="AM1" s="54" t="s">
        <v>65</v>
      </c>
      <c r="AN1" s="54" t="s">
        <v>66</v>
      </c>
      <c r="AO1" s="54" t="s">
        <v>67</v>
      </c>
      <c r="AP1" s="54" t="s">
        <v>68</v>
      </c>
      <c r="AQ1" s="54" t="s">
        <v>69</v>
      </c>
      <c r="AR1" s="54" t="s">
        <v>70</v>
      </c>
      <c r="AS1" s="54" t="s">
        <v>71</v>
      </c>
      <c r="AT1" s="54" t="s">
        <v>72</v>
      </c>
      <c r="AU1" s="54" t="s">
        <v>407</v>
      </c>
      <c r="AV1" s="54" t="s">
        <v>408</v>
      </c>
      <c r="AW1" s="54" t="s">
        <v>409</v>
      </c>
      <c r="AX1" s="54" t="s">
        <v>410</v>
      </c>
      <c r="AY1" s="54" t="s">
        <v>411</v>
      </c>
      <c r="AZ1" s="54" t="s">
        <v>412</v>
      </c>
      <c r="BA1" s="54" t="s">
        <v>73</v>
      </c>
      <c r="BB1" s="54" t="s">
        <v>74</v>
      </c>
      <c r="BC1" s="54" t="s">
        <v>75</v>
      </c>
      <c r="BD1" s="54" t="s">
        <v>76</v>
      </c>
      <c r="BE1" s="54" t="s">
        <v>77</v>
      </c>
      <c r="BF1" s="54" t="s">
        <v>78</v>
      </c>
      <c r="BG1" s="54" t="s">
        <v>79</v>
      </c>
      <c r="BH1" s="54" t="s">
        <v>80</v>
      </c>
      <c r="BI1" s="54" t="s">
        <v>81</v>
      </c>
      <c r="BJ1" s="54" t="s">
        <v>82</v>
      </c>
      <c r="BK1" s="54" t="s">
        <v>83</v>
      </c>
      <c r="BL1" s="54" t="s">
        <v>84</v>
      </c>
      <c r="BM1" s="54" t="s">
        <v>85</v>
      </c>
      <c r="BN1" s="54" t="s">
        <v>86</v>
      </c>
      <c r="BO1" s="54" t="s">
        <v>87</v>
      </c>
      <c r="BP1" s="54" t="s">
        <v>88</v>
      </c>
      <c r="BQ1" s="54" t="s">
        <v>89</v>
      </c>
      <c r="BR1" s="54" t="s">
        <v>434</v>
      </c>
      <c r="BS1" s="54" t="s">
        <v>368</v>
      </c>
      <c r="BT1" s="54" t="s">
        <v>369</v>
      </c>
      <c r="BU1" s="54" t="s">
        <v>370</v>
      </c>
      <c r="BV1" s="54" t="s">
        <v>371</v>
      </c>
      <c r="BW1" s="54" t="s">
        <v>372</v>
      </c>
      <c r="BX1" s="54" t="s">
        <v>373</v>
      </c>
      <c r="BY1" s="54" t="s">
        <v>242</v>
      </c>
      <c r="BZ1" s="54" t="s">
        <v>931</v>
      </c>
      <c r="CA1" s="54" t="s">
        <v>353</v>
      </c>
      <c r="CB1" s="54" t="s">
        <v>354</v>
      </c>
      <c r="CC1" s="54" t="s">
        <v>355</v>
      </c>
      <c r="CD1" s="54" t="s">
        <v>356</v>
      </c>
      <c r="CE1" s="54" t="s">
        <v>357</v>
      </c>
      <c r="CF1" s="54" t="s">
        <v>358</v>
      </c>
      <c r="CG1" s="54" t="s">
        <v>359</v>
      </c>
      <c r="CH1" s="54" t="s">
        <v>360</v>
      </c>
      <c r="CI1" s="54" t="s">
        <v>361</v>
      </c>
      <c r="CJ1" s="54" t="s">
        <v>362</v>
      </c>
      <c r="CK1" s="54" t="s">
        <v>363</v>
      </c>
      <c r="CL1" s="54" t="s">
        <v>930</v>
      </c>
      <c r="CM1" s="54" t="s">
        <v>245</v>
      </c>
      <c r="CN1" s="54" t="s">
        <v>246</v>
      </c>
      <c r="CO1" s="54" t="s">
        <v>247</v>
      </c>
      <c r="CP1" s="54" t="s">
        <v>248</v>
      </c>
      <c r="CQ1" s="54" t="s">
        <v>249</v>
      </c>
      <c r="CR1" s="54" t="s">
        <v>250</v>
      </c>
      <c r="CS1" s="54" t="s">
        <v>251</v>
      </c>
      <c r="CT1" s="54" t="s">
        <v>252</v>
      </c>
      <c r="CU1" s="54" t="s">
        <v>253</v>
      </c>
      <c r="CV1" s="54" t="s">
        <v>254</v>
      </c>
      <c r="CW1" s="54" t="s">
        <v>255</v>
      </c>
      <c r="CX1" s="54" t="s">
        <v>256</v>
      </c>
      <c r="CY1" s="54" t="s">
        <v>257</v>
      </c>
      <c r="CZ1" s="54" t="s">
        <v>258</v>
      </c>
      <c r="DA1" s="54" t="s">
        <v>259</v>
      </c>
      <c r="DB1" s="54" t="s">
        <v>260</v>
      </c>
      <c r="DC1" s="54" t="s">
        <v>261</v>
      </c>
      <c r="DD1" s="54" t="s">
        <v>262</v>
      </c>
      <c r="DE1" s="54" t="s">
        <v>698</v>
      </c>
      <c r="DF1" s="54" t="s">
        <v>413</v>
      </c>
      <c r="DG1" s="54" t="s">
        <v>414</v>
      </c>
      <c r="DH1" s="54" t="s">
        <v>415</v>
      </c>
      <c r="DI1" s="54" t="s">
        <v>416</v>
      </c>
      <c r="DJ1" s="54" t="s">
        <v>417</v>
      </c>
      <c r="DK1" s="54" t="s">
        <v>418</v>
      </c>
      <c r="DL1" s="54" t="s">
        <v>263</v>
      </c>
      <c r="DM1" s="54" t="s">
        <v>264</v>
      </c>
      <c r="DN1" s="54" t="s">
        <v>265</v>
      </c>
      <c r="DO1" s="54" t="s">
        <v>266</v>
      </c>
      <c r="DP1" s="54" t="s">
        <v>267</v>
      </c>
      <c r="DQ1" s="54" t="s">
        <v>268</v>
      </c>
      <c r="DR1" s="54" t="s">
        <v>269</v>
      </c>
      <c r="DS1" s="54" t="s">
        <v>270</v>
      </c>
      <c r="DT1" s="54" t="s">
        <v>271</v>
      </c>
      <c r="DU1" s="54" t="s">
        <v>272</v>
      </c>
      <c r="DV1" s="54" t="s">
        <v>273</v>
      </c>
      <c r="DW1" s="54" t="s">
        <v>274</v>
      </c>
      <c r="DX1" s="54" t="s">
        <v>275</v>
      </c>
      <c r="DY1" s="54" t="s">
        <v>276</v>
      </c>
      <c r="DZ1" s="54" t="s">
        <v>277</v>
      </c>
      <c r="EA1" s="54" t="s">
        <v>278</v>
      </c>
      <c r="EB1" s="54" t="s">
        <v>279</v>
      </c>
      <c r="EC1" s="54" t="s">
        <v>280</v>
      </c>
      <c r="ED1" s="54" t="s">
        <v>699</v>
      </c>
      <c r="EE1" s="54" t="s">
        <v>419</v>
      </c>
      <c r="EF1" s="54" t="s">
        <v>420</v>
      </c>
      <c r="EG1" s="54" t="s">
        <v>421</v>
      </c>
      <c r="EH1" s="54" t="s">
        <v>281</v>
      </c>
      <c r="EI1" s="54" t="s">
        <v>282</v>
      </c>
      <c r="EJ1" s="54" t="s">
        <v>283</v>
      </c>
      <c r="EK1" s="54" t="s">
        <v>284</v>
      </c>
      <c r="EL1" s="54" t="s">
        <v>285</v>
      </c>
      <c r="EM1" s="54" t="s">
        <v>286</v>
      </c>
      <c r="EN1" s="54" t="s">
        <v>287</v>
      </c>
      <c r="EO1" s="54" t="s">
        <v>288</v>
      </c>
      <c r="EP1" s="54" t="s">
        <v>289</v>
      </c>
      <c r="EQ1" s="54" t="s">
        <v>290</v>
      </c>
      <c r="ER1" s="54" t="s">
        <v>291</v>
      </c>
      <c r="ES1" s="54" t="s">
        <v>292</v>
      </c>
      <c r="ET1" s="54" t="s">
        <v>293</v>
      </c>
      <c r="EU1" s="54" t="s">
        <v>294</v>
      </c>
      <c r="EV1" s="54" t="s">
        <v>295</v>
      </c>
      <c r="EW1" s="54" t="s">
        <v>296</v>
      </c>
      <c r="EX1" s="54" t="s">
        <v>297</v>
      </c>
      <c r="EY1" s="54" t="s">
        <v>298</v>
      </c>
      <c r="EZ1" s="54" t="s">
        <v>700</v>
      </c>
      <c r="FA1" s="54" t="s">
        <v>422</v>
      </c>
      <c r="FB1" s="54" t="s">
        <v>423</v>
      </c>
      <c r="FC1" s="54" t="s">
        <v>424</v>
      </c>
      <c r="FD1" s="54" t="s">
        <v>299</v>
      </c>
      <c r="FE1" s="54" t="s">
        <v>300</v>
      </c>
      <c r="FF1" s="54" t="s">
        <v>301</v>
      </c>
      <c r="FG1" s="54" t="s">
        <v>302</v>
      </c>
      <c r="FH1" s="54" t="s">
        <v>303</v>
      </c>
      <c r="FI1" s="54" t="s">
        <v>304</v>
      </c>
      <c r="FJ1" s="54" t="s">
        <v>305</v>
      </c>
      <c r="FK1" s="54" t="s">
        <v>306</v>
      </c>
      <c r="FL1" s="54" t="s">
        <v>307</v>
      </c>
      <c r="FM1" s="54" t="s">
        <v>308</v>
      </c>
      <c r="FN1" s="54" t="s">
        <v>309</v>
      </c>
      <c r="FO1" s="54" t="s">
        <v>310</v>
      </c>
      <c r="FP1" s="54" t="s">
        <v>311</v>
      </c>
      <c r="FQ1" s="54" t="s">
        <v>312</v>
      </c>
      <c r="FR1" s="54" t="s">
        <v>313</v>
      </c>
      <c r="FS1" s="54" t="s">
        <v>314</v>
      </c>
      <c r="FT1" s="54" t="s">
        <v>315</v>
      </c>
      <c r="FU1" s="54" t="s">
        <v>316</v>
      </c>
      <c r="FV1" s="54" t="s">
        <v>701</v>
      </c>
      <c r="FW1" s="54" t="s">
        <v>425</v>
      </c>
      <c r="FX1" s="54" t="s">
        <v>426</v>
      </c>
      <c r="FY1" s="54" t="s">
        <v>427</v>
      </c>
      <c r="FZ1" s="54" t="s">
        <v>317</v>
      </c>
      <c r="GA1" s="54" t="s">
        <v>318</v>
      </c>
      <c r="GB1" s="54" t="s">
        <v>319</v>
      </c>
      <c r="GC1" s="54" t="s">
        <v>320</v>
      </c>
      <c r="GD1" s="54" t="s">
        <v>321</v>
      </c>
      <c r="GE1" s="54" t="s">
        <v>322</v>
      </c>
      <c r="GF1" s="54" t="s">
        <v>323</v>
      </c>
      <c r="GG1" s="54" t="s">
        <v>324</v>
      </c>
      <c r="GH1" s="54" t="s">
        <v>325</v>
      </c>
      <c r="GI1" s="54" t="s">
        <v>326</v>
      </c>
      <c r="GJ1" s="54" t="s">
        <v>327</v>
      </c>
      <c r="GK1" s="54" t="s">
        <v>328</v>
      </c>
      <c r="GL1" s="54" t="s">
        <v>329</v>
      </c>
      <c r="GM1" s="54" t="s">
        <v>330</v>
      </c>
      <c r="GN1" s="54" t="s">
        <v>331</v>
      </c>
      <c r="GO1" s="54" t="s">
        <v>332</v>
      </c>
      <c r="GP1" s="54" t="s">
        <v>333</v>
      </c>
      <c r="GQ1" s="54" t="s">
        <v>334</v>
      </c>
      <c r="GR1" s="54" t="s">
        <v>702</v>
      </c>
      <c r="GS1" s="54" t="s">
        <v>428</v>
      </c>
      <c r="GT1" s="54" t="s">
        <v>429</v>
      </c>
      <c r="GU1" s="54" t="s">
        <v>430</v>
      </c>
      <c r="GV1" s="54" t="s">
        <v>335</v>
      </c>
      <c r="GW1" s="54" t="s">
        <v>336</v>
      </c>
      <c r="GX1" s="54" t="s">
        <v>337</v>
      </c>
      <c r="GY1" s="54" t="s">
        <v>338</v>
      </c>
      <c r="GZ1" s="54" t="s">
        <v>339</v>
      </c>
      <c r="HA1" s="54" t="s">
        <v>340</v>
      </c>
      <c r="HB1" s="54" t="s">
        <v>341</v>
      </c>
      <c r="HC1" s="54" t="s">
        <v>342</v>
      </c>
      <c r="HD1" s="54" t="s">
        <v>343</v>
      </c>
      <c r="HE1" s="54" t="s">
        <v>344</v>
      </c>
      <c r="HF1" s="54" t="s">
        <v>345</v>
      </c>
      <c r="HG1" s="54" t="s">
        <v>346</v>
      </c>
      <c r="HH1" s="54" t="s">
        <v>347</v>
      </c>
      <c r="HI1" s="54" t="s">
        <v>348</v>
      </c>
      <c r="HJ1" s="54" t="s">
        <v>349</v>
      </c>
      <c r="HK1" s="54" t="s">
        <v>350</v>
      </c>
      <c r="HL1" s="54" t="s">
        <v>351</v>
      </c>
      <c r="HM1" s="54" t="s">
        <v>352</v>
      </c>
      <c r="HN1" s="54" t="s">
        <v>703</v>
      </c>
      <c r="HO1" s="54" t="s">
        <v>431</v>
      </c>
      <c r="HP1" s="54" t="s">
        <v>432</v>
      </c>
      <c r="HQ1" s="54" t="s">
        <v>433</v>
      </c>
      <c r="HR1" s="54" t="s">
        <v>800</v>
      </c>
      <c r="HS1" s="54" t="s">
        <v>801</v>
      </c>
      <c r="HT1" s="54" t="s">
        <v>802</v>
      </c>
      <c r="HU1" s="54" t="s">
        <v>803</v>
      </c>
      <c r="HV1" s="54" t="s">
        <v>804</v>
      </c>
      <c r="HW1" s="54" t="s">
        <v>805</v>
      </c>
      <c r="HX1" s="54" t="s">
        <v>806</v>
      </c>
      <c r="HY1" s="54" t="s">
        <v>807</v>
      </c>
      <c r="HZ1" s="54" t="s">
        <v>808</v>
      </c>
      <c r="IA1" s="54" t="s">
        <v>809</v>
      </c>
      <c r="IB1" s="54" t="s">
        <v>810</v>
      </c>
      <c r="IC1" s="54" t="s">
        <v>811</v>
      </c>
      <c r="ID1" s="54" t="s">
        <v>457</v>
      </c>
      <c r="IE1" s="54" t="s">
        <v>391</v>
      </c>
      <c r="IF1" s="54" t="s">
        <v>392</v>
      </c>
      <c r="IG1" s="54" t="s">
        <v>396</v>
      </c>
      <c r="IH1" s="54" t="s">
        <v>395</v>
      </c>
      <c r="II1" s="54" t="s">
        <v>397</v>
      </c>
      <c r="IJ1" s="54" t="s">
        <v>398</v>
      </c>
      <c r="IK1" s="41" t="s">
        <v>399</v>
      </c>
      <c r="IL1" s="54" t="s">
        <v>401</v>
      </c>
      <c r="IM1" s="54" t="s">
        <v>400</v>
      </c>
      <c r="IN1" s="54" t="s">
        <v>456</v>
      </c>
      <c r="IO1" s="54" t="s">
        <v>841</v>
      </c>
      <c r="IP1" s="54" t="s">
        <v>868</v>
      </c>
      <c r="IQ1" s="54" t="s">
        <v>942</v>
      </c>
      <c r="IR1" s="54" t="s">
        <v>941</v>
      </c>
      <c r="IS1" s="55" t="s">
        <v>1008</v>
      </c>
      <c r="IT1" t="s">
        <v>1005</v>
      </c>
    </row>
  </sheetData>
  <sheetProtection sort="0" autoFilter="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T1"/>
  <sheetViews>
    <sheetView showGridLines="0" showRowColHeaders="0" workbookViewId="0" topLeftCell="AD1">
      <selection activeCell="AM7" sqref="AM7"/>
    </sheetView>
  </sheetViews>
  <sheetFormatPr defaultColWidth="9.140625" defaultRowHeight="15"/>
  <cols>
    <col min="1" max="1" width="10.7109375" style="54" bestFit="1" customWidth="1"/>
    <col min="2" max="2" width="12.8515625" style="54" bestFit="1" customWidth="1"/>
    <col min="3" max="3" width="36.421875" style="54" customWidth="1"/>
    <col min="4" max="4" width="15.57421875" style="54" customWidth="1"/>
    <col min="5" max="5" width="10.7109375" style="1" bestFit="1" customWidth="1"/>
    <col min="6" max="7" width="10.7109375" style="1" customWidth="1"/>
    <col min="8" max="9" width="9.140625" style="54" customWidth="1"/>
    <col min="10" max="10" width="11.140625" style="54" bestFit="1" customWidth="1"/>
    <col min="11" max="12" width="11.140625" style="54" customWidth="1"/>
    <col min="13" max="46" width="9.140625" style="54" customWidth="1"/>
  </cols>
  <sheetData>
    <row r="1" spans="1:46" ht="15">
      <c r="A1" s="54" t="s">
        <v>1</v>
      </c>
      <c r="B1" s="54" t="s">
        <v>10</v>
      </c>
      <c r="C1" s="54" t="s">
        <v>3</v>
      </c>
      <c r="D1" s="54" t="s">
        <v>93</v>
      </c>
      <c r="E1" s="1" t="s">
        <v>4</v>
      </c>
      <c r="F1" s="1" t="s">
        <v>47</v>
      </c>
      <c r="G1" s="1" t="s">
        <v>95</v>
      </c>
      <c r="H1" s="54" t="s">
        <v>18</v>
      </c>
      <c r="I1" s="54" t="s">
        <v>19</v>
      </c>
      <c r="J1" s="54" t="s">
        <v>442</v>
      </c>
      <c r="K1" s="54" t="s">
        <v>443</v>
      </c>
      <c r="L1" s="54" t="s">
        <v>444</v>
      </c>
      <c r="M1" s="54" t="s">
        <v>20</v>
      </c>
      <c r="N1" s="54" t="s">
        <v>364</v>
      </c>
      <c r="O1" s="54" t="s">
        <v>21</v>
      </c>
      <c r="P1" s="54" t="s">
        <v>22</v>
      </c>
      <c r="Q1" s="54" t="s">
        <v>244</v>
      </c>
      <c r="R1" s="54" t="s">
        <v>245</v>
      </c>
      <c r="S1" s="54" t="s">
        <v>246</v>
      </c>
      <c r="T1" s="54" t="s">
        <v>247</v>
      </c>
      <c r="U1" s="54" t="s">
        <v>248</v>
      </c>
      <c r="V1" s="54" t="s">
        <v>249</v>
      </c>
      <c r="W1" s="54" t="s">
        <v>250</v>
      </c>
      <c r="X1" s="54" t="s">
        <v>251</v>
      </c>
      <c r="Y1" s="54" t="s">
        <v>252</v>
      </c>
      <c r="Z1" s="54" t="s">
        <v>253</v>
      </c>
      <c r="AA1" s="54" t="s">
        <v>254</v>
      </c>
      <c r="AB1" s="54" t="s">
        <v>255</v>
      </c>
      <c r="AC1" s="54" t="s">
        <v>256</v>
      </c>
      <c r="AD1" s="54" t="s">
        <v>257</v>
      </c>
      <c r="AE1" s="54" t="s">
        <v>258</v>
      </c>
      <c r="AF1" s="54" t="s">
        <v>259</v>
      </c>
      <c r="AG1" s="54" t="s">
        <v>260</v>
      </c>
      <c r="AH1" s="54" t="s">
        <v>261</v>
      </c>
      <c r="AI1" s="54" t="s">
        <v>262</v>
      </c>
      <c r="AJ1" s="54" t="s">
        <v>698</v>
      </c>
      <c r="AK1" s="54" t="s">
        <v>413</v>
      </c>
      <c r="AL1" s="54" t="s">
        <v>414</v>
      </c>
      <c r="AM1" s="54" t="s">
        <v>415</v>
      </c>
      <c r="AN1" s="54" t="s">
        <v>393</v>
      </c>
      <c r="AO1" s="54" t="s">
        <v>459</v>
      </c>
      <c r="AP1" s="54" t="s">
        <v>460</v>
      </c>
      <c r="AQ1" s="54" t="s">
        <v>394</v>
      </c>
      <c r="AR1" s="54" t="s">
        <v>705</v>
      </c>
      <c r="AS1" s="54" t="s">
        <v>391</v>
      </c>
      <c r="AT1" s="54" t="s">
        <v>815</v>
      </c>
    </row>
  </sheetData>
  <sheetProtection sort="0" autoFilter="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
  <sheetViews>
    <sheetView showGridLines="0" showRowColHeaders="0" workbookViewId="0" topLeftCell="A1">
      <pane ySplit="1" topLeftCell="A2" activePane="bottomLeft" state="frozen"/>
      <selection pane="bottomLeft" activeCell="A2" sqref="A2"/>
    </sheetView>
  </sheetViews>
  <sheetFormatPr defaultColWidth="9.140625" defaultRowHeight="15"/>
  <cols>
    <col min="1" max="1" width="12.8515625" style="54" bestFit="1" customWidth="1"/>
    <col min="2" max="2" width="9.140625" style="54" customWidth="1"/>
    <col min="3" max="4" width="10.7109375" style="54" bestFit="1" customWidth="1"/>
    <col min="5" max="5" width="15.28125" style="54" bestFit="1" customWidth="1"/>
    <col min="6" max="6" width="12.57421875" style="54" bestFit="1" customWidth="1"/>
    <col min="7" max="7" width="10.00390625" style="54" bestFit="1" customWidth="1"/>
    <col min="8" max="8" width="10.00390625" style="54" customWidth="1"/>
    <col min="9" max="12" width="9.140625" style="54" customWidth="1"/>
  </cols>
  <sheetData>
    <row r="1" spans="1:12" ht="15">
      <c r="A1" s="54" t="s">
        <v>10</v>
      </c>
      <c r="B1" s="54" t="s">
        <v>11</v>
      </c>
      <c r="C1" s="54" t="s">
        <v>4</v>
      </c>
      <c r="D1" s="54" t="s">
        <v>47</v>
      </c>
      <c r="E1" s="54" t="s">
        <v>227</v>
      </c>
      <c r="F1" s="54" t="s">
        <v>99</v>
      </c>
      <c r="G1" s="54" t="s">
        <v>228</v>
      </c>
      <c r="H1" s="54" t="s">
        <v>393</v>
      </c>
      <c r="I1" s="54" t="s">
        <v>884</v>
      </c>
      <c r="J1" s="54" t="s">
        <v>885</v>
      </c>
      <c r="K1" s="54" t="s">
        <v>886</v>
      </c>
      <c r="L1" s="54" t="s">
        <v>887</v>
      </c>
    </row>
  </sheetData>
  <sheetProtection sort="0" autoFilter="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D1"/>
  <sheetViews>
    <sheetView showGridLines="0" showRowColHeaders="0" workbookViewId="0" topLeftCell="A1"/>
  </sheetViews>
  <sheetFormatPr defaultColWidth="9.140625" defaultRowHeight="15"/>
  <cols>
    <col min="1" max="2" width="14.7109375" style="54" customWidth="1"/>
    <col min="3" max="3" width="9.140625" style="54" customWidth="1"/>
    <col min="4" max="4" width="14.7109375" style="56" customWidth="1"/>
  </cols>
  <sheetData>
    <row r="1" spans="1:4" ht="15">
      <c r="A1" s="54" t="s">
        <v>3</v>
      </c>
      <c r="B1" s="54" t="s">
        <v>93</v>
      </c>
      <c r="C1" s="54" t="s">
        <v>25</v>
      </c>
      <c r="D1" s="56" t="s">
        <v>1009</v>
      </c>
    </row>
  </sheetData>
  <sheetProtection sort="0" autoFilter="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R327"/>
  <sheetViews>
    <sheetView showGridLines="0" showRowColHeaders="0" workbookViewId="0" topLeftCell="A1"/>
  </sheetViews>
  <sheetFormatPr defaultColWidth="9.140625" defaultRowHeight="15"/>
  <cols>
    <col min="1" max="1" width="28.140625" style="0" customWidth="1"/>
    <col min="2" max="2" width="19.421875" style="0" customWidth="1"/>
    <col min="3" max="3" width="9.140625" style="0" customWidth="1"/>
    <col min="4" max="4" width="11.57421875" style="0" customWidth="1"/>
    <col min="5" max="5" width="10.421875" style="0" customWidth="1"/>
    <col min="6" max="6" width="54.8515625" style="0" customWidth="1"/>
    <col min="7" max="7" width="15.421875" style="0" customWidth="1"/>
    <col min="8" max="8" width="47.140625" style="0" customWidth="1"/>
    <col min="9" max="9" width="15.57421875" style="0" customWidth="1"/>
    <col min="10" max="10" width="9.140625" style="0" customWidth="1"/>
    <col min="11" max="11" width="16.8515625" style="0" customWidth="1"/>
    <col min="12" max="12" width="33.140625" style="0" bestFit="1" customWidth="1"/>
    <col min="13" max="18" width="19.28125" style="0" customWidth="1"/>
  </cols>
  <sheetData>
    <row r="1" spans="1:18" ht="15">
      <c r="A1" t="s">
        <v>3</v>
      </c>
      <c r="B1" t="s">
        <v>93</v>
      </c>
      <c r="C1" t="s">
        <v>435</v>
      </c>
      <c r="D1" t="s">
        <v>20</v>
      </c>
      <c r="E1" t="s">
        <v>436</v>
      </c>
      <c r="F1" t="s">
        <v>437</v>
      </c>
      <c r="G1" t="s">
        <v>438</v>
      </c>
      <c r="H1" t="s">
        <v>439</v>
      </c>
      <c r="I1" t="s">
        <v>440</v>
      </c>
      <c r="J1" t="s">
        <v>374</v>
      </c>
      <c r="K1" t="s">
        <v>1009</v>
      </c>
      <c r="L1" t="s">
        <v>472</v>
      </c>
      <c r="M1" t="s">
        <v>742</v>
      </c>
      <c r="N1" t="s">
        <v>743</v>
      </c>
      <c r="O1" t="s">
        <v>746</v>
      </c>
      <c r="P1" t="s">
        <v>747</v>
      </c>
      <c r="Q1" t="s">
        <v>798</v>
      </c>
      <c r="R1" t="s">
        <v>799</v>
      </c>
    </row>
    <row r="2" spans="1:18" ht="15">
      <c r="A2" t="s">
        <v>100</v>
      </c>
      <c r="B2" t="s">
        <v>101</v>
      </c>
      <c r="C2" t="s">
        <v>23</v>
      </c>
      <c r="D2" t="s">
        <v>31</v>
      </c>
      <c r="E2" t="s">
        <v>30</v>
      </c>
      <c r="F2" t="s">
        <v>222</v>
      </c>
      <c r="G2" s="2">
        <f>Variables!$B$16</f>
        <v>43556</v>
      </c>
      <c r="H2" t="s">
        <v>101</v>
      </c>
      <c r="I2" t="s">
        <v>704</v>
      </c>
      <c r="J2" t="s">
        <v>375</v>
      </c>
      <c r="K2" s="56" t="str">
        <f>IF(Variables!$B$25,_xlfn.IFERROR(1+0*SEARCH(Variables!$B$26,$A2),0),"")</f>
        <v/>
      </c>
      <c r="M2" t="s">
        <v>725</v>
      </c>
      <c r="N2" t="s">
        <v>706</v>
      </c>
      <c r="O2" t="s">
        <v>62</v>
      </c>
      <c r="P2" t="s">
        <v>748</v>
      </c>
      <c r="Q2" t="s">
        <v>759</v>
      </c>
      <c r="R2" t="s">
        <v>760</v>
      </c>
    </row>
    <row r="3" spans="1:18" ht="15">
      <c r="A3" t="s">
        <v>12</v>
      </c>
      <c r="B3" t="s">
        <v>101</v>
      </c>
      <c r="C3" t="s">
        <v>24</v>
      </c>
      <c r="D3" t="s">
        <v>32</v>
      </c>
      <c r="E3" t="s">
        <v>29</v>
      </c>
      <c r="F3" t="s">
        <v>223</v>
      </c>
      <c r="G3" s="2">
        <f>EDATE(G2,1)</f>
        <v>43586</v>
      </c>
      <c r="H3" t="s">
        <v>94</v>
      </c>
      <c r="I3" t="s">
        <v>229</v>
      </c>
      <c r="J3" t="s">
        <v>376</v>
      </c>
      <c r="K3" s="56" t="str">
        <f>IF(Variables!$B$25,_xlfn.IFERROR(1+0*SEARCH(Variables!$B$26,$A3),0),"")</f>
        <v/>
      </c>
      <c r="M3" t="s">
        <v>726</v>
      </c>
      <c r="N3" t="s">
        <v>707</v>
      </c>
      <c r="O3" t="s">
        <v>63</v>
      </c>
      <c r="P3" t="s">
        <v>749</v>
      </c>
      <c r="Q3" t="s">
        <v>761</v>
      </c>
      <c r="R3" t="s">
        <v>762</v>
      </c>
    </row>
    <row r="4" spans="1:18" ht="15">
      <c r="A4" t="s">
        <v>102</v>
      </c>
      <c r="B4" t="s">
        <v>101</v>
      </c>
      <c r="D4" t="s">
        <v>33</v>
      </c>
      <c r="F4" t="s">
        <v>224</v>
      </c>
      <c r="G4" s="2">
        <f aca="true" t="shared" si="0" ref="G4:G13">EDATE(G3,1)</f>
        <v>43617</v>
      </c>
      <c r="H4" t="s">
        <v>106</v>
      </c>
      <c r="I4" t="s">
        <v>230</v>
      </c>
      <c r="J4" t="s">
        <v>377</v>
      </c>
      <c r="K4" s="56" t="str">
        <f>IF(Variables!$B$25,_xlfn.IFERROR(1+0*SEARCH(Variables!$B$26,$A4),0),"")</f>
        <v/>
      </c>
      <c r="M4" t="s">
        <v>727</v>
      </c>
      <c r="N4" t="s">
        <v>708</v>
      </c>
      <c r="O4" t="s">
        <v>68</v>
      </c>
      <c r="P4" t="s">
        <v>750</v>
      </c>
      <c r="Q4" t="s">
        <v>763</v>
      </c>
      <c r="R4" t="s">
        <v>764</v>
      </c>
    </row>
    <row r="5" spans="1:18" ht="15">
      <c r="A5" t="s">
        <v>103</v>
      </c>
      <c r="B5" t="s">
        <v>101</v>
      </c>
      <c r="D5" t="s">
        <v>28</v>
      </c>
      <c r="F5" t="s">
        <v>225</v>
      </c>
      <c r="G5" s="2">
        <f t="shared" si="0"/>
        <v>43647</v>
      </c>
      <c r="H5" t="s">
        <v>109</v>
      </c>
      <c r="I5" t="s">
        <v>406</v>
      </c>
      <c r="J5" t="s">
        <v>378</v>
      </c>
      <c r="K5" s="56" t="str">
        <f>IF(Variables!$B$25,_xlfn.IFERROR(1+0*SEARCH(Variables!$B$26,$A5),0),"")</f>
        <v/>
      </c>
      <c r="M5" t="s">
        <v>709</v>
      </c>
      <c r="N5" t="s">
        <v>709</v>
      </c>
      <c r="O5" t="s">
        <v>66</v>
      </c>
      <c r="P5" t="s">
        <v>751</v>
      </c>
      <c r="Q5" t="s">
        <v>765</v>
      </c>
      <c r="R5" t="s">
        <v>766</v>
      </c>
    </row>
    <row r="6" spans="1:18" ht="15">
      <c r="A6" t="s">
        <v>104</v>
      </c>
      <c r="B6" t="s">
        <v>101</v>
      </c>
      <c r="D6" t="s">
        <v>403</v>
      </c>
      <c r="F6" t="s">
        <v>226</v>
      </c>
      <c r="G6" s="2">
        <f t="shared" si="0"/>
        <v>43678</v>
      </c>
      <c r="H6" t="s">
        <v>164</v>
      </c>
      <c r="I6" t="s">
        <v>405</v>
      </c>
      <c r="K6" s="56" t="str">
        <f>IF(Variables!$B$25,_xlfn.IFERROR(1+0*SEARCH(Variables!$B$26,$A6),0),"")</f>
        <v/>
      </c>
      <c r="M6" t="s">
        <v>728</v>
      </c>
      <c r="N6" t="s">
        <v>710</v>
      </c>
      <c r="O6" t="s">
        <v>67</v>
      </c>
      <c r="P6" t="s">
        <v>752</v>
      </c>
      <c r="Q6" t="s">
        <v>767</v>
      </c>
      <c r="R6" t="s">
        <v>768</v>
      </c>
    </row>
    <row r="7" spans="1:18" ht="15">
      <c r="A7" t="s">
        <v>496</v>
      </c>
      <c r="B7" t="s">
        <v>94</v>
      </c>
      <c r="D7" t="s">
        <v>404</v>
      </c>
      <c r="G7" s="2">
        <f t="shared" si="0"/>
        <v>43709</v>
      </c>
      <c r="H7" t="s">
        <v>27</v>
      </c>
      <c r="K7" s="56" t="str">
        <f>IF(Variables!$B$25,_xlfn.IFERROR(1+0*SEARCH(Variables!$B$26,$A7),0),"")</f>
        <v/>
      </c>
      <c r="M7" t="s">
        <v>729</v>
      </c>
      <c r="N7" t="s">
        <v>711</v>
      </c>
      <c r="O7" t="s">
        <v>70</v>
      </c>
      <c r="P7" t="s">
        <v>753</v>
      </c>
      <c r="Q7" t="s">
        <v>769</v>
      </c>
      <c r="R7" t="s">
        <v>770</v>
      </c>
    </row>
    <row r="8" spans="1:18" ht="15">
      <c r="A8" t="s">
        <v>497</v>
      </c>
      <c r="B8" t="s">
        <v>94</v>
      </c>
      <c r="D8" t="s">
        <v>27</v>
      </c>
      <c r="G8" s="2">
        <f t="shared" si="0"/>
        <v>43739</v>
      </c>
      <c r="H8" t="s">
        <v>405</v>
      </c>
      <c r="K8" s="56" t="str">
        <f>IF(Variables!$B$25,_xlfn.IFERROR(1+0*SEARCH(Variables!$B$26,$A8),0),"")</f>
        <v/>
      </c>
      <c r="M8" t="s">
        <v>730</v>
      </c>
      <c r="N8" t="s">
        <v>712</v>
      </c>
      <c r="O8" t="s">
        <v>71</v>
      </c>
      <c r="P8" t="s">
        <v>754</v>
      </c>
      <c r="Q8" t="s">
        <v>771</v>
      </c>
      <c r="R8" t="s">
        <v>772</v>
      </c>
    </row>
    <row r="9" spans="1:18" ht="15">
      <c r="A9" t="s">
        <v>498</v>
      </c>
      <c r="B9" t="s">
        <v>94</v>
      </c>
      <c r="G9" s="2">
        <f t="shared" si="0"/>
        <v>43770</v>
      </c>
      <c r="K9" s="56" t="str">
        <f>IF(Variables!$B$25,_xlfn.IFERROR(1+0*SEARCH(Variables!$B$26,$A9),0),"")</f>
        <v/>
      </c>
      <c r="M9" t="s">
        <v>731</v>
      </c>
      <c r="N9" t="s">
        <v>713</v>
      </c>
      <c r="O9" t="s">
        <v>72</v>
      </c>
      <c r="P9" t="s">
        <v>755</v>
      </c>
      <c r="Q9" t="s">
        <v>773</v>
      </c>
      <c r="R9" t="s">
        <v>774</v>
      </c>
    </row>
    <row r="10" spans="1:18" ht="15">
      <c r="A10" t="s">
        <v>105</v>
      </c>
      <c r="B10" t="s">
        <v>106</v>
      </c>
      <c r="G10" s="2">
        <f t="shared" si="0"/>
        <v>43800</v>
      </c>
      <c r="K10" s="56" t="str">
        <f>IF(Variables!$B$25,_xlfn.IFERROR(1+0*SEARCH(Variables!$B$26,$A10),0),"")</f>
        <v/>
      </c>
      <c r="M10" t="s">
        <v>732</v>
      </c>
      <c r="N10" t="s">
        <v>714</v>
      </c>
      <c r="O10" t="s">
        <v>64</v>
      </c>
      <c r="P10" t="s">
        <v>756</v>
      </c>
      <c r="Q10" t="s">
        <v>775</v>
      </c>
      <c r="R10" t="s">
        <v>723</v>
      </c>
    </row>
    <row r="11" spans="1:18" ht="15">
      <c r="A11" t="s">
        <v>107</v>
      </c>
      <c r="B11" t="s">
        <v>94</v>
      </c>
      <c r="G11" s="2">
        <f t="shared" si="0"/>
        <v>43831</v>
      </c>
      <c r="K11" s="56" t="str">
        <f>IF(Variables!$B$25,_xlfn.IFERROR(1+0*SEARCH(Variables!$B$26,$A11),0),"")</f>
        <v/>
      </c>
      <c r="M11" t="s">
        <v>733</v>
      </c>
      <c r="N11" t="s">
        <v>715</v>
      </c>
      <c r="O11" t="s">
        <v>69</v>
      </c>
      <c r="P11" t="s">
        <v>757</v>
      </c>
      <c r="Q11" t="s">
        <v>776</v>
      </c>
      <c r="R11" t="s">
        <v>34</v>
      </c>
    </row>
    <row r="12" spans="1:18" ht="15">
      <c r="A12" t="s">
        <v>108</v>
      </c>
      <c r="B12" t="s">
        <v>109</v>
      </c>
      <c r="G12" s="2">
        <f t="shared" si="0"/>
        <v>43862</v>
      </c>
      <c r="K12" s="56" t="str">
        <f>IF(Variables!$B$25,_xlfn.IFERROR(1+0*SEARCH(Variables!$B$26,$A12),0),"")</f>
        <v/>
      </c>
      <c r="M12" t="s">
        <v>734</v>
      </c>
      <c r="N12" t="s">
        <v>716</v>
      </c>
      <c r="O12" t="s">
        <v>65</v>
      </c>
      <c r="P12" t="s">
        <v>758</v>
      </c>
      <c r="Q12" t="s">
        <v>777</v>
      </c>
      <c r="R12" t="s">
        <v>778</v>
      </c>
    </row>
    <row r="13" spans="1:18" ht="15">
      <c r="A13" t="s">
        <v>13</v>
      </c>
      <c r="B13" t="s">
        <v>109</v>
      </c>
      <c r="G13" s="2">
        <f t="shared" si="0"/>
        <v>43891</v>
      </c>
      <c r="K13" s="56" t="str">
        <f>IF(Variables!$B$25,_xlfn.IFERROR(1+0*SEARCH(Variables!$B$26,$A13),0),"")</f>
        <v/>
      </c>
      <c r="L13" t="s">
        <v>473</v>
      </c>
      <c r="M13" t="s">
        <v>735</v>
      </c>
      <c r="N13" t="s">
        <v>717</v>
      </c>
      <c r="O13" t="s">
        <v>407</v>
      </c>
      <c r="P13" t="s">
        <v>724</v>
      </c>
      <c r="Q13" t="s">
        <v>779</v>
      </c>
      <c r="R13" t="s">
        <v>780</v>
      </c>
    </row>
    <row r="14" spans="1:18" ht="15">
      <c r="A14" t="s">
        <v>110</v>
      </c>
      <c r="B14" t="s">
        <v>109</v>
      </c>
      <c r="G14" s="2"/>
      <c r="K14" s="56" t="str">
        <f>IF(Variables!$B$25,_xlfn.IFERROR(1+0*SEARCH(Variables!$B$26,$A14),0),"")</f>
        <v/>
      </c>
      <c r="M14" t="s">
        <v>34</v>
      </c>
      <c r="N14" t="s">
        <v>718</v>
      </c>
      <c r="O14" t="s">
        <v>408</v>
      </c>
      <c r="P14" t="s">
        <v>724</v>
      </c>
      <c r="Q14" t="s">
        <v>781</v>
      </c>
      <c r="R14" t="s">
        <v>782</v>
      </c>
    </row>
    <row r="15" spans="1:18" ht="15">
      <c r="A15" t="s">
        <v>111</v>
      </c>
      <c r="B15" t="s">
        <v>109</v>
      </c>
      <c r="G15" s="2"/>
      <c r="K15" s="56" t="str">
        <f>IF(Variables!$B$25,_xlfn.IFERROR(1+0*SEARCH(Variables!$B$26,$A15),0),"")</f>
        <v/>
      </c>
      <c r="L15" t="s">
        <v>474</v>
      </c>
      <c r="M15" t="s">
        <v>56</v>
      </c>
      <c r="N15" t="s">
        <v>719</v>
      </c>
      <c r="O15" t="s">
        <v>409</v>
      </c>
      <c r="P15" t="s">
        <v>724</v>
      </c>
      <c r="Q15" t="s">
        <v>783</v>
      </c>
      <c r="R15" t="s">
        <v>784</v>
      </c>
    </row>
    <row r="16" spans="1:18" ht="15">
      <c r="A16" t="s">
        <v>112</v>
      </c>
      <c r="B16" t="s">
        <v>109</v>
      </c>
      <c r="G16" s="2"/>
      <c r="K16" s="56" t="str">
        <f>IF(Variables!$B$25,_xlfn.IFERROR(1+0*SEARCH(Variables!$B$26,$A16),0),"")</f>
        <v/>
      </c>
      <c r="M16" t="s">
        <v>736</v>
      </c>
      <c r="N16" t="s">
        <v>720</v>
      </c>
      <c r="Q16" t="s">
        <v>785</v>
      </c>
      <c r="R16" t="s">
        <v>786</v>
      </c>
    </row>
    <row r="17" spans="1:18" ht="15">
      <c r="A17" t="s">
        <v>113</v>
      </c>
      <c r="B17" t="s">
        <v>94</v>
      </c>
      <c r="G17" s="2"/>
      <c r="K17" s="56" t="str">
        <f>IF(Variables!$B$25,_xlfn.IFERROR(1+0*SEARCH(Variables!$B$26,$A17),0),"")</f>
        <v/>
      </c>
      <c r="M17" t="s">
        <v>737</v>
      </c>
      <c r="N17" t="s">
        <v>721</v>
      </c>
      <c r="Q17" t="s">
        <v>787</v>
      </c>
      <c r="R17" t="s">
        <v>788</v>
      </c>
    </row>
    <row r="18" spans="1:18" ht="15">
      <c r="A18" t="s">
        <v>499</v>
      </c>
      <c r="B18" t="s">
        <v>94</v>
      </c>
      <c r="G18" s="2"/>
      <c r="K18" s="56" t="str">
        <f>IF(Variables!$B$25,_xlfn.IFERROR(1+0*SEARCH(Variables!$B$26,$A18),0),"")</f>
        <v/>
      </c>
      <c r="M18" t="s">
        <v>738</v>
      </c>
      <c r="N18" t="s">
        <v>722</v>
      </c>
      <c r="Q18" t="s">
        <v>789</v>
      </c>
      <c r="R18" t="s">
        <v>790</v>
      </c>
    </row>
    <row r="19" spans="1:18" ht="15">
      <c r="A19" t="s">
        <v>500</v>
      </c>
      <c r="B19" t="s">
        <v>94</v>
      </c>
      <c r="G19" s="2"/>
      <c r="K19" s="56" t="str">
        <f>IF(Variables!$B$25,_xlfn.IFERROR(1+0*SEARCH(Variables!$B$26,$A19),0),"")</f>
        <v/>
      </c>
      <c r="M19" t="s">
        <v>723</v>
      </c>
      <c r="N19" t="s">
        <v>723</v>
      </c>
      <c r="Q19" t="s">
        <v>791</v>
      </c>
      <c r="R19" t="s">
        <v>792</v>
      </c>
    </row>
    <row r="20" spans="1:18" ht="15">
      <c r="A20" t="s">
        <v>501</v>
      </c>
      <c r="B20" t="s">
        <v>94</v>
      </c>
      <c r="G20" s="2"/>
      <c r="K20" s="56" t="str">
        <f>IF(Variables!$B$25,_xlfn.IFERROR(1+0*SEARCH(Variables!$B$26,$A20),0),"")</f>
        <v/>
      </c>
      <c r="M20" t="s">
        <v>739</v>
      </c>
      <c r="N20" t="s">
        <v>724</v>
      </c>
      <c r="Q20" t="s">
        <v>793</v>
      </c>
      <c r="R20" t="s">
        <v>794</v>
      </c>
    </row>
    <row r="21" spans="1:18" ht="15">
      <c r="A21" t="s">
        <v>502</v>
      </c>
      <c r="B21" t="s">
        <v>94</v>
      </c>
      <c r="K21" s="56" t="str">
        <f>IF(Variables!$B$25,_xlfn.IFERROR(1+0*SEARCH(Variables!$B$26,$A21),0),"")</f>
        <v/>
      </c>
      <c r="M21" t="s">
        <v>740</v>
      </c>
      <c r="N21" t="s">
        <v>724</v>
      </c>
      <c r="Q21" t="s">
        <v>795</v>
      </c>
      <c r="R21" t="s">
        <v>724</v>
      </c>
    </row>
    <row r="22" spans="1:18" ht="15">
      <c r="A22" t="s">
        <v>503</v>
      </c>
      <c r="B22" t="s">
        <v>94</v>
      </c>
      <c r="K22" s="56" t="str">
        <f>IF(Variables!$B$25,_xlfn.IFERROR(1+0*SEARCH(Variables!$B$26,$A22),0),"")</f>
        <v/>
      </c>
      <c r="M22" t="s">
        <v>741</v>
      </c>
      <c r="N22" t="s">
        <v>724</v>
      </c>
      <c r="Q22" t="s">
        <v>796</v>
      </c>
      <c r="R22" t="s">
        <v>724</v>
      </c>
    </row>
    <row r="23" spans="1:18" ht="15">
      <c r="A23" t="s">
        <v>504</v>
      </c>
      <c r="B23" t="s">
        <v>101</v>
      </c>
      <c r="K23" s="56" t="str">
        <f>IF(Variables!$B$25,_xlfn.IFERROR(1+0*SEARCH(Variables!$B$26,$A23),0),"")</f>
        <v/>
      </c>
      <c r="Q23" t="s">
        <v>797</v>
      </c>
      <c r="R23" t="s">
        <v>724</v>
      </c>
    </row>
    <row r="24" spans="1:11" ht="15">
      <c r="A24" t="s">
        <v>114</v>
      </c>
      <c r="B24" t="s">
        <v>106</v>
      </c>
      <c r="K24" s="56" t="str">
        <f>IF(Variables!$B$25,_xlfn.IFERROR(1+0*SEARCH(Variables!$B$26,$A24),0),"")</f>
        <v/>
      </c>
    </row>
    <row r="25" spans="1:11" ht="15">
      <c r="A25" t="s">
        <v>115</v>
      </c>
      <c r="B25" t="s">
        <v>109</v>
      </c>
      <c r="K25" s="56" t="str">
        <f>IF(Variables!$B$25,_xlfn.IFERROR(1+0*SEARCH(Variables!$B$26,$A25),0),"")</f>
        <v/>
      </c>
    </row>
    <row r="26" spans="1:11" ht="15">
      <c r="A26" t="s">
        <v>505</v>
      </c>
      <c r="B26" t="s">
        <v>109</v>
      </c>
      <c r="K26" s="56" t="str">
        <f>IF(Variables!$B$25,_xlfn.IFERROR(1+0*SEARCH(Variables!$B$26,$A26),0),"")</f>
        <v/>
      </c>
    </row>
    <row r="27" spans="1:11" ht="15">
      <c r="A27" t="s">
        <v>116</v>
      </c>
      <c r="B27" t="s">
        <v>106</v>
      </c>
      <c r="K27" s="56" t="str">
        <f>IF(Variables!$B$25,_xlfn.IFERROR(1+0*SEARCH(Variables!$B$26,$A27),0),"")</f>
        <v/>
      </c>
    </row>
    <row r="28" spans="1:11" ht="15">
      <c r="A28" t="s">
        <v>506</v>
      </c>
      <c r="B28" t="s">
        <v>101</v>
      </c>
      <c r="K28" s="56" t="str">
        <f>IF(Variables!$B$25,_xlfn.IFERROR(1+0*SEARCH(Variables!$B$26,$A28),0),"")</f>
        <v/>
      </c>
    </row>
    <row r="29" spans="1:12" ht="15">
      <c r="A29" t="s">
        <v>507</v>
      </c>
      <c r="B29" t="s">
        <v>109</v>
      </c>
      <c r="K29" s="56" t="str">
        <f>IF(Variables!$B$25,_xlfn.IFERROR(1+0*SEARCH(Variables!$B$26,$A29),0),"")</f>
        <v/>
      </c>
      <c r="L29" t="s">
        <v>475</v>
      </c>
    </row>
    <row r="30" spans="1:11" ht="15">
      <c r="A30" t="s">
        <v>117</v>
      </c>
      <c r="B30" t="s">
        <v>94</v>
      </c>
      <c r="K30" s="56" t="str">
        <f>IF(Variables!$B$25,_xlfn.IFERROR(1+0*SEARCH(Variables!$B$26,$A30),0),"")</f>
        <v/>
      </c>
    </row>
    <row r="31" spans="1:11" ht="15">
      <c r="A31" t="s">
        <v>118</v>
      </c>
      <c r="B31" t="s">
        <v>94</v>
      </c>
      <c r="K31" s="56" t="str">
        <f>IF(Variables!$B$25,_xlfn.IFERROR(1+0*SEARCH(Variables!$B$26,$A31),0),"")</f>
        <v/>
      </c>
    </row>
    <row r="32" spans="1:11" ht="15">
      <c r="A32" t="s">
        <v>119</v>
      </c>
      <c r="B32" t="s">
        <v>94</v>
      </c>
      <c r="K32" s="56" t="str">
        <f>IF(Variables!$B$25,_xlfn.IFERROR(1+0*SEARCH(Variables!$B$26,$A32),0),"")</f>
        <v/>
      </c>
    </row>
    <row r="33" spans="1:11" ht="15">
      <c r="A33" t="s">
        <v>508</v>
      </c>
      <c r="B33" t="s">
        <v>94</v>
      </c>
      <c r="K33" s="56" t="str">
        <f>IF(Variables!$B$25,_xlfn.IFERROR(1+0*SEARCH(Variables!$B$26,$A33),0),"")</f>
        <v/>
      </c>
    </row>
    <row r="34" spans="1:11" ht="15">
      <c r="A34" t="s">
        <v>509</v>
      </c>
      <c r="B34" t="s">
        <v>94</v>
      </c>
      <c r="K34" s="56" t="str">
        <f>IF(Variables!$B$25,_xlfn.IFERROR(1+0*SEARCH(Variables!$B$26,$A34),0),"")</f>
        <v/>
      </c>
    </row>
    <row r="35" spans="1:11" ht="15">
      <c r="A35" t="s">
        <v>120</v>
      </c>
      <c r="B35" t="s">
        <v>101</v>
      </c>
      <c r="K35" s="56" t="str">
        <f>IF(Variables!$B$25,_xlfn.IFERROR(1+0*SEARCH(Variables!$B$26,$A35),0),"")</f>
        <v/>
      </c>
    </row>
    <row r="36" spans="1:11" ht="15">
      <c r="A36" t="s">
        <v>121</v>
      </c>
      <c r="B36" t="s">
        <v>101</v>
      </c>
      <c r="K36" s="56" t="str">
        <f>IF(Variables!$B$25,_xlfn.IFERROR(1+0*SEARCH(Variables!$B$26,$A36),0),"")</f>
        <v/>
      </c>
    </row>
    <row r="37" spans="1:12" ht="15">
      <c r="A37" t="s">
        <v>122</v>
      </c>
      <c r="B37" t="s">
        <v>109</v>
      </c>
      <c r="K37" s="56" t="str">
        <f>IF(Variables!$B$25,_xlfn.IFERROR(1+0*SEARCH(Variables!$B$26,$A37),0),"")</f>
        <v/>
      </c>
      <c r="L37" t="s">
        <v>476</v>
      </c>
    </row>
    <row r="38" spans="1:11" ht="15">
      <c r="A38" t="s">
        <v>123</v>
      </c>
      <c r="B38" t="s">
        <v>109</v>
      </c>
      <c r="K38" s="56" t="str">
        <f>IF(Variables!$B$25,_xlfn.IFERROR(1+0*SEARCH(Variables!$B$26,$A38),0),"")</f>
        <v/>
      </c>
    </row>
    <row r="39" spans="1:12" ht="15">
      <c r="A39" t="s">
        <v>124</v>
      </c>
      <c r="B39" t="s">
        <v>109</v>
      </c>
      <c r="K39" s="56" t="str">
        <f>IF(Variables!$B$25,_xlfn.IFERROR(1+0*SEARCH(Variables!$B$26,$A39),0),"")</f>
        <v/>
      </c>
      <c r="L39" t="s">
        <v>477</v>
      </c>
    </row>
    <row r="40" spans="1:11" ht="15">
      <c r="A40" t="s">
        <v>125</v>
      </c>
      <c r="B40" t="s">
        <v>109</v>
      </c>
      <c r="K40" s="56" t="str">
        <f>IF(Variables!$B$25,_xlfn.IFERROR(1+0*SEARCH(Variables!$B$26,$A40),0),"")</f>
        <v/>
      </c>
    </row>
    <row r="41" spans="1:11" ht="15">
      <c r="A41" t="s">
        <v>510</v>
      </c>
      <c r="B41" t="s">
        <v>94</v>
      </c>
      <c r="K41" s="56" t="str">
        <f>IF(Variables!$B$25,_xlfn.IFERROR(1+0*SEARCH(Variables!$B$26,$A41),0),"")</f>
        <v/>
      </c>
    </row>
    <row r="42" spans="1:11" ht="15">
      <c r="A42" t="s">
        <v>511</v>
      </c>
      <c r="B42" t="s">
        <v>94</v>
      </c>
      <c r="K42" s="56" t="str">
        <f>IF(Variables!$B$25,_xlfn.IFERROR(1+0*SEARCH(Variables!$B$26,$A42),0),"")</f>
        <v/>
      </c>
    </row>
    <row r="43" spans="1:11" ht="15">
      <c r="A43" t="s">
        <v>126</v>
      </c>
      <c r="B43" t="s">
        <v>94</v>
      </c>
      <c r="K43" s="56" t="str">
        <f>IF(Variables!$B$25,_xlfn.IFERROR(1+0*SEARCH(Variables!$B$26,$A43),0),"")</f>
        <v/>
      </c>
    </row>
    <row r="44" spans="1:11" ht="15">
      <c r="A44" t="s">
        <v>127</v>
      </c>
      <c r="B44" t="s">
        <v>94</v>
      </c>
      <c r="K44" s="56" t="str">
        <f>IF(Variables!$B$25,_xlfn.IFERROR(1+0*SEARCH(Variables!$B$26,$A44),0),"")</f>
        <v/>
      </c>
    </row>
    <row r="45" spans="1:11" ht="15">
      <c r="A45" t="s">
        <v>128</v>
      </c>
      <c r="B45" t="s">
        <v>94</v>
      </c>
      <c r="K45" s="56" t="str">
        <f>IF(Variables!$B$25,_xlfn.IFERROR(1+0*SEARCH(Variables!$B$26,$A45),0),"")</f>
        <v/>
      </c>
    </row>
    <row r="46" spans="1:11" ht="15">
      <c r="A46" t="s">
        <v>129</v>
      </c>
      <c r="B46" t="s">
        <v>94</v>
      </c>
      <c r="K46" s="56" t="str">
        <f>IF(Variables!$B$25,_xlfn.IFERROR(1+0*SEARCH(Variables!$B$26,$A46),0),"")</f>
        <v/>
      </c>
    </row>
    <row r="47" spans="1:11" ht="15">
      <c r="A47" t="s">
        <v>130</v>
      </c>
      <c r="B47" t="s">
        <v>94</v>
      </c>
      <c r="K47" s="56" t="str">
        <f>IF(Variables!$B$25,_xlfn.IFERROR(1+0*SEARCH(Variables!$B$26,$A47),0),"")</f>
        <v/>
      </c>
    </row>
    <row r="48" spans="1:11" ht="15">
      <c r="A48" t="s">
        <v>512</v>
      </c>
      <c r="B48" t="s">
        <v>106</v>
      </c>
      <c r="K48" s="56" t="str">
        <f>IF(Variables!$B$25,_xlfn.IFERROR(1+0*SEARCH(Variables!$B$26,$A48),0),"")</f>
        <v/>
      </c>
    </row>
    <row r="49" spans="1:11" ht="15">
      <c r="A49" t="s">
        <v>513</v>
      </c>
      <c r="B49" t="s">
        <v>106</v>
      </c>
      <c r="K49" s="56" t="str">
        <f>IF(Variables!$B$25,_xlfn.IFERROR(1+0*SEARCH(Variables!$B$26,$A49),0),"")</f>
        <v/>
      </c>
    </row>
    <row r="50" spans="1:11" ht="15">
      <c r="A50" t="s">
        <v>14</v>
      </c>
      <c r="B50" t="s">
        <v>101</v>
      </c>
      <c r="K50" s="56" t="str">
        <f>IF(Variables!$B$25,_xlfn.IFERROR(1+0*SEARCH(Variables!$B$26,$A50),0),"")</f>
        <v/>
      </c>
    </row>
    <row r="51" spans="1:11" ht="15">
      <c r="A51" t="s">
        <v>131</v>
      </c>
      <c r="B51" t="s">
        <v>101</v>
      </c>
      <c r="K51" s="56" t="str">
        <f>IF(Variables!$B$25,_xlfn.IFERROR(1+0*SEARCH(Variables!$B$26,$A51),0),"")</f>
        <v/>
      </c>
    </row>
    <row r="52" spans="1:11" ht="15">
      <c r="A52" t="s">
        <v>132</v>
      </c>
      <c r="B52" t="s">
        <v>101</v>
      </c>
      <c r="K52" s="56" t="str">
        <f>IF(Variables!$B$25,_xlfn.IFERROR(1+0*SEARCH(Variables!$B$26,$A52),0),"")</f>
        <v/>
      </c>
    </row>
    <row r="53" spans="1:11" ht="15">
      <c r="A53" t="s">
        <v>514</v>
      </c>
      <c r="B53" t="s">
        <v>106</v>
      </c>
      <c r="K53" s="56" t="str">
        <f>IF(Variables!$B$25,_xlfn.IFERROR(1+0*SEARCH(Variables!$B$26,$A53),0),"")</f>
        <v/>
      </c>
    </row>
    <row r="54" spans="1:11" ht="15">
      <c r="A54" t="s">
        <v>515</v>
      </c>
      <c r="B54" t="s">
        <v>106</v>
      </c>
      <c r="K54" s="56" t="str">
        <f>IF(Variables!$B$25,_xlfn.IFERROR(1+0*SEARCH(Variables!$B$26,$A54),0),"")</f>
        <v/>
      </c>
    </row>
    <row r="55" spans="1:11" ht="15">
      <c r="A55" t="s">
        <v>516</v>
      </c>
      <c r="B55" t="s">
        <v>106</v>
      </c>
      <c r="K55" s="56" t="str">
        <f>IF(Variables!$B$25,_xlfn.IFERROR(1+0*SEARCH(Variables!$B$26,$A55),0),"")</f>
        <v/>
      </c>
    </row>
    <row r="56" spans="1:11" ht="15">
      <c r="A56" t="s">
        <v>517</v>
      </c>
      <c r="B56" t="s">
        <v>106</v>
      </c>
      <c r="K56" s="56" t="str">
        <f>IF(Variables!$B$25,_xlfn.IFERROR(1+0*SEARCH(Variables!$B$26,$A56),0),"")</f>
        <v/>
      </c>
    </row>
    <row r="57" spans="1:11" ht="15">
      <c r="A57" t="s">
        <v>518</v>
      </c>
      <c r="B57" t="s">
        <v>106</v>
      </c>
      <c r="K57" s="56" t="str">
        <f>IF(Variables!$B$25,_xlfn.IFERROR(1+0*SEARCH(Variables!$B$26,$A57),0),"")</f>
        <v/>
      </c>
    </row>
    <row r="58" spans="1:11" ht="15">
      <c r="A58" t="s">
        <v>519</v>
      </c>
      <c r="B58" t="s">
        <v>106</v>
      </c>
      <c r="K58" s="56" t="str">
        <f>IF(Variables!$B$25,_xlfn.IFERROR(1+0*SEARCH(Variables!$B$26,$A58),0),"")</f>
        <v/>
      </c>
    </row>
    <row r="59" spans="1:11" ht="15">
      <c r="A59" t="s">
        <v>520</v>
      </c>
      <c r="B59" t="s">
        <v>106</v>
      </c>
      <c r="K59" s="56" t="str">
        <f>IF(Variables!$B$25,_xlfn.IFERROR(1+0*SEARCH(Variables!$B$26,$A59),0),"")</f>
        <v/>
      </c>
    </row>
    <row r="60" spans="1:11" ht="15">
      <c r="A60" t="s">
        <v>521</v>
      </c>
      <c r="B60" t="s">
        <v>106</v>
      </c>
      <c r="K60" s="56" t="str">
        <f>IF(Variables!$B$25,_xlfn.IFERROR(1+0*SEARCH(Variables!$B$26,$A60),0),"")</f>
        <v/>
      </c>
    </row>
    <row r="61" spans="1:11" ht="15">
      <c r="A61" t="s">
        <v>522</v>
      </c>
      <c r="B61" t="s">
        <v>106</v>
      </c>
      <c r="K61" s="56" t="str">
        <f>IF(Variables!$B$25,_xlfn.IFERROR(1+0*SEARCH(Variables!$B$26,$A61),0),"")</f>
        <v/>
      </c>
    </row>
    <row r="62" spans="1:11" ht="15">
      <c r="A62" t="s">
        <v>523</v>
      </c>
      <c r="B62" t="s">
        <v>106</v>
      </c>
      <c r="K62" s="56" t="str">
        <f>IF(Variables!$B$25,_xlfn.IFERROR(1+0*SEARCH(Variables!$B$26,$A62),0),"")</f>
        <v/>
      </c>
    </row>
    <row r="63" spans="1:11" ht="15">
      <c r="A63" t="s">
        <v>524</v>
      </c>
      <c r="B63" t="s">
        <v>106</v>
      </c>
      <c r="K63" s="56" t="str">
        <f>IF(Variables!$B$25,_xlfn.IFERROR(1+0*SEARCH(Variables!$B$26,$A63),0),"")</f>
        <v/>
      </c>
    </row>
    <row r="64" spans="1:11" ht="15">
      <c r="A64" t="s">
        <v>525</v>
      </c>
      <c r="B64" t="s">
        <v>106</v>
      </c>
      <c r="K64" s="56" t="str">
        <f>IF(Variables!$B$25,_xlfn.IFERROR(1+0*SEARCH(Variables!$B$26,$A64),0),"")</f>
        <v/>
      </c>
    </row>
    <row r="65" spans="1:11" ht="15">
      <c r="A65" t="s">
        <v>526</v>
      </c>
      <c r="B65" t="s">
        <v>106</v>
      </c>
      <c r="K65" s="56" t="str">
        <f>IF(Variables!$B$25,_xlfn.IFERROR(1+0*SEARCH(Variables!$B$26,$A65),0),"")</f>
        <v/>
      </c>
    </row>
    <row r="66" spans="1:11" ht="15">
      <c r="A66" t="s">
        <v>527</v>
      </c>
      <c r="B66" t="s">
        <v>106</v>
      </c>
      <c r="K66" s="56" t="str">
        <f>IF(Variables!$B$25,_xlfn.IFERROR(1+0*SEARCH(Variables!$B$26,$A66),0),"")</f>
        <v/>
      </c>
    </row>
    <row r="67" spans="1:11" ht="15">
      <c r="A67" t="s">
        <v>528</v>
      </c>
      <c r="B67" t="s">
        <v>106</v>
      </c>
      <c r="K67" s="56" t="str">
        <f>IF(Variables!$B$25,_xlfn.IFERROR(1+0*SEARCH(Variables!$B$26,$A67),0),"")</f>
        <v/>
      </c>
    </row>
    <row r="68" spans="1:11" ht="15">
      <c r="A68" t="s">
        <v>529</v>
      </c>
      <c r="B68" t="s">
        <v>106</v>
      </c>
      <c r="K68" s="56" t="str">
        <f>IF(Variables!$B$25,_xlfn.IFERROR(1+0*SEARCH(Variables!$B$26,$A68),0),"")</f>
        <v/>
      </c>
    </row>
    <row r="69" spans="1:11" ht="15">
      <c r="A69" t="s">
        <v>530</v>
      </c>
      <c r="B69" t="s">
        <v>106</v>
      </c>
      <c r="K69" s="56" t="str">
        <f>IF(Variables!$B$25,_xlfn.IFERROR(1+0*SEARCH(Variables!$B$26,$A69),0),"")</f>
        <v/>
      </c>
    </row>
    <row r="70" spans="1:11" ht="15">
      <c r="A70" t="s">
        <v>531</v>
      </c>
      <c r="B70" t="s">
        <v>106</v>
      </c>
      <c r="K70" s="56" t="str">
        <f>IF(Variables!$B$25,_xlfn.IFERROR(1+0*SEARCH(Variables!$B$26,$A70),0),"")</f>
        <v/>
      </c>
    </row>
    <row r="71" spans="1:11" ht="15">
      <c r="A71" t="s">
        <v>532</v>
      </c>
      <c r="B71" t="s">
        <v>106</v>
      </c>
      <c r="K71" s="56" t="str">
        <f>IF(Variables!$B$25,_xlfn.IFERROR(1+0*SEARCH(Variables!$B$26,$A71),0),"")</f>
        <v/>
      </c>
    </row>
    <row r="72" spans="1:11" ht="15">
      <c r="A72" t="s">
        <v>533</v>
      </c>
      <c r="B72" t="s">
        <v>106</v>
      </c>
      <c r="K72" s="56" t="str">
        <f>IF(Variables!$B$25,_xlfn.IFERROR(1+0*SEARCH(Variables!$B$26,$A72),0),"")</f>
        <v/>
      </c>
    </row>
    <row r="73" spans="1:11" ht="15">
      <c r="A73" t="s">
        <v>534</v>
      </c>
      <c r="B73" t="s">
        <v>106</v>
      </c>
      <c r="K73" s="56" t="str">
        <f>IF(Variables!$B$25,_xlfn.IFERROR(1+0*SEARCH(Variables!$B$26,$A73),0),"")</f>
        <v/>
      </c>
    </row>
    <row r="74" spans="1:11" ht="15">
      <c r="A74" t="s">
        <v>535</v>
      </c>
      <c r="B74" t="s">
        <v>106</v>
      </c>
      <c r="K74" s="56" t="str">
        <f>IF(Variables!$B$25,_xlfn.IFERROR(1+0*SEARCH(Variables!$B$26,$A74),0),"")</f>
        <v/>
      </c>
    </row>
    <row r="75" spans="1:11" ht="15">
      <c r="A75" t="s">
        <v>536</v>
      </c>
      <c r="B75" t="s">
        <v>106</v>
      </c>
      <c r="K75" s="56" t="str">
        <f>IF(Variables!$B$25,_xlfn.IFERROR(1+0*SEARCH(Variables!$B$26,$A75),0),"")</f>
        <v/>
      </c>
    </row>
    <row r="76" spans="1:11" ht="15">
      <c r="A76" t="s">
        <v>537</v>
      </c>
      <c r="B76" t="s">
        <v>106</v>
      </c>
      <c r="K76" s="56" t="str">
        <f>IF(Variables!$B$25,_xlfn.IFERROR(1+0*SEARCH(Variables!$B$26,$A76),0),"")</f>
        <v/>
      </c>
    </row>
    <row r="77" spans="1:11" ht="15">
      <c r="A77" t="s">
        <v>538</v>
      </c>
      <c r="B77" t="s">
        <v>106</v>
      </c>
      <c r="K77" s="56" t="str">
        <f>IF(Variables!$B$25,_xlfn.IFERROR(1+0*SEARCH(Variables!$B$26,$A77),0),"")</f>
        <v/>
      </c>
    </row>
    <row r="78" spans="1:11" ht="15">
      <c r="A78" t="s">
        <v>539</v>
      </c>
      <c r="B78" t="s">
        <v>106</v>
      </c>
      <c r="K78" s="56" t="str">
        <f>IF(Variables!$B$25,_xlfn.IFERROR(1+0*SEARCH(Variables!$B$26,$A78),0),"")</f>
        <v/>
      </c>
    </row>
    <row r="79" spans="1:11" ht="15">
      <c r="A79" t="s">
        <v>540</v>
      </c>
      <c r="B79" t="s">
        <v>106</v>
      </c>
      <c r="K79" s="56" t="str">
        <f>IF(Variables!$B$25,_xlfn.IFERROR(1+0*SEARCH(Variables!$B$26,$A79),0),"")</f>
        <v/>
      </c>
    </row>
    <row r="80" spans="1:11" ht="15">
      <c r="A80" t="s">
        <v>541</v>
      </c>
      <c r="B80" t="s">
        <v>106</v>
      </c>
      <c r="K80" s="56" t="str">
        <f>IF(Variables!$B$25,_xlfn.IFERROR(1+0*SEARCH(Variables!$B$26,$A80),0),"")</f>
        <v/>
      </c>
    </row>
    <row r="81" spans="1:11" ht="15">
      <c r="A81" t="s">
        <v>542</v>
      </c>
      <c r="B81" t="s">
        <v>106</v>
      </c>
      <c r="K81" s="56" t="str">
        <f>IF(Variables!$B$25,_xlfn.IFERROR(1+0*SEARCH(Variables!$B$26,$A81),0),"")</f>
        <v/>
      </c>
    </row>
    <row r="82" spans="1:11" ht="15">
      <c r="A82" t="s">
        <v>543</v>
      </c>
      <c r="B82" t="s">
        <v>106</v>
      </c>
      <c r="K82" s="56" t="str">
        <f>IF(Variables!$B$25,_xlfn.IFERROR(1+0*SEARCH(Variables!$B$26,$A82),0),"")</f>
        <v/>
      </c>
    </row>
    <row r="83" spans="1:11" ht="15">
      <c r="A83" t="s">
        <v>544</v>
      </c>
      <c r="B83" t="s">
        <v>106</v>
      </c>
      <c r="K83" s="56" t="str">
        <f>IF(Variables!$B$25,_xlfn.IFERROR(1+0*SEARCH(Variables!$B$26,$A83),0),"")</f>
        <v/>
      </c>
    </row>
    <row r="84" spans="1:11" ht="15">
      <c r="A84" t="s">
        <v>545</v>
      </c>
      <c r="B84" t="s">
        <v>106</v>
      </c>
      <c r="K84" s="56" t="str">
        <f>IF(Variables!$B$25,_xlfn.IFERROR(1+0*SEARCH(Variables!$B$26,$A84),0),"")</f>
        <v/>
      </c>
    </row>
    <row r="85" spans="1:11" ht="15">
      <c r="A85" t="s">
        <v>546</v>
      </c>
      <c r="B85" t="s">
        <v>106</v>
      </c>
      <c r="K85" s="56" t="str">
        <f>IF(Variables!$B$25,_xlfn.IFERROR(1+0*SEARCH(Variables!$B$26,$A85),0),"")</f>
        <v/>
      </c>
    </row>
    <row r="86" spans="1:11" ht="15">
      <c r="A86" t="s">
        <v>547</v>
      </c>
      <c r="B86" t="s">
        <v>106</v>
      </c>
      <c r="K86" s="56" t="str">
        <f>IF(Variables!$B$25,_xlfn.IFERROR(1+0*SEARCH(Variables!$B$26,$A86),0),"")</f>
        <v/>
      </c>
    </row>
    <row r="87" spans="1:11" ht="15">
      <c r="A87" t="s">
        <v>548</v>
      </c>
      <c r="B87" t="s">
        <v>106</v>
      </c>
      <c r="K87" s="56" t="str">
        <f>IF(Variables!$B$25,_xlfn.IFERROR(1+0*SEARCH(Variables!$B$26,$A87),0),"")</f>
        <v/>
      </c>
    </row>
    <row r="88" spans="1:11" ht="15">
      <c r="A88" t="s">
        <v>549</v>
      </c>
      <c r="B88" t="s">
        <v>106</v>
      </c>
      <c r="K88" s="56" t="str">
        <f>IF(Variables!$B$25,_xlfn.IFERROR(1+0*SEARCH(Variables!$B$26,$A88),0),"")</f>
        <v/>
      </c>
    </row>
    <row r="89" spans="1:11" ht="15">
      <c r="A89" t="s">
        <v>550</v>
      </c>
      <c r="B89" t="s">
        <v>106</v>
      </c>
      <c r="K89" s="56" t="str">
        <f>IF(Variables!$B$25,_xlfn.IFERROR(1+0*SEARCH(Variables!$B$26,$A89),0),"")</f>
        <v/>
      </c>
    </row>
    <row r="90" spans="1:11" ht="15">
      <c r="A90" t="s">
        <v>551</v>
      </c>
      <c r="B90" t="s">
        <v>106</v>
      </c>
      <c r="K90" s="56" t="str">
        <f>IF(Variables!$B$25,_xlfn.IFERROR(1+0*SEARCH(Variables!$B$26,$A90),0),"")</f>
        <v/>
      </c>
    </row>
    <row r="91" spans="1:11" ht="15">
      <c r="A91" t="s">
        <v>552</v>
      </c>
      <c r="B91" t="s">
        <v>106</v>
      </c>
      <c r="K91" s="56" t="str">
        <f>IF(Variables!$B$25,_xlfn.IFERROR(1+0*SEARCH(Variables!$B$26,$A91),0),"")</f>
        <v/>
      </c>
    </row>
    <row r="92" spans="1:11" ht="15">
      <c r="A92" t="s">
        <v>553</v>
      </c>
      <c r="B92" t="s">
        <v>106</v>
      </c>
      <c r="K92" s="56" t="str">
        <f>IF(Variables!$B$25,_xlfn.IFERROR(1+0*SEARCH(Variables!$B$26,$A92),0),"")</f>
        <v/>
      </c>
    </row>
    <row r="93" spans="1:11" ht="15">
      <c r="A93" t="s">
        <v>554</v>
      </c>
      <c r="B93" t="s">
        <v>106</v>
      </c>
      <c r="K93" s="56" t="str">
        <f>IF(Variables!$B$25,_xlfn.IFERROR(1+0*SEARCH(Variables!$B$26,$A93),0),"")</f>
        <v/>
      </c>
    </row>
    <row r="94" spans="1:11" ht="15">
      <c r="A94" t="s">
        <v>555</v>
      </c>
      <c r="B94" t="s">
        <v>106</v>
      </c>
      <c r="K94" s="56" t="str">
        <f>IF(Variables!$B$25,_xlfn.IFERROR(1+0*SEARCH(Variables!$B$26,$A94),0),"")</f>
        <v/>
      </c>
    </row>
    <row r="95" spans="1:11" ht="15">
      <c r="A95" t="s">
        <v>556</v>
      </c>
      <c r="B95" t="s">
        <v>106</v>
      </c>
      <c r="K95" s="56" t="str">
        <f>IF(Variables!$B$25,_xlfn.IFERROR(1+0*SEARCH(Variables!$B$26,$A95),0),"")</f>
        <v/>
      </c>
    </row>
    <row r="96" spans="1:11" ht="15">
      <c r="A96" t="s">
        <v>557</v>
      </c>
      <c r="B96" t="s">
        <v>106</v>
      </c>
      <c r="K96" s="56" t="str">
        <f>IF(Variables!$B$25,_xlfn.IFERROR(1+0*SEARCH(Variables!$B$26,$A96),0),"")</f>
        <v/>
      </c>
    </row>
    <row r="97" spans="1:11" ht="15">
      <c r="A97" t="s">
        <v>558</v>
      </c>
      <c r="B97" t="s">
        <v>106</v>
      </c>
      <c r="K97" s="56" t="str">
        <f>IF(Variables!$B$25,_xlfn.IFERROR(1+0*SEARCH(Variables!$B$26,$A97),0),"")</f>
        <v/>
      </c>
    </row>
    <row r="98" spans="1:11" ht="15">
      <c r="A98" t="s">
        <v>559</v>
      </c>
      <c r="B98" t="s">
        <v>106</v>
      </c>
      <c r="K98" s="56" t="str">
        <f>IF(Variables!$B$25,_xlfn.IFERROR(1+0*SEARCH(Variables!$B$26,$A98),0),"")</f>
        <v/>
      </c>
    </row>
    <row r="99" spans="1:11" ht="15">
      <c r="A99" t="s">
        <v>560</v>
      </c>
      <c r="B99" t="s">
        <v>106</v>
      </c>
      <c r="K99" s="56" t="str">
        <f>IF(Variables!$B$25,_xlfn.IFERROR(1+0*SEARCH(Variables!$B$26,$A99),0),"")</f>
        <v/>
      </c>
    </row>
    <row r="100" spans="1:11" ht="15">
      <c r="A100" t="s">
        <v>561</v>
      </c>
      <c r="B100" t="s">
        <v>106</v>
      </c>
      <c r="K100" s="56" t="str">
        <f>IF(Variables!$B$25,_xlfn.IFERROR(1+0*SEARCH(Variables!$B$26,$A100),0),"")</f>
        <v/>
      </c>
    </row>
    <row r="101" spans="1:11" ht="15">
      <c r="A101" t="s">
        <v>562</v>
      </c>
      <c r="B101" t="s">
        <v>106</v>
      </c>
      <c r="K101" s="56" t="str">
        <f>IF(Variables!$B$25,_xlfn.IFERROR(1+0*SEARCH(Variables!$B$26,$A101),0),"")</f>
        <v/>
      </c>
    </row>
    <row r="102" spans="1:11" ht="15">
      <c r="A102" t="s">
        <v>563</v>
      </c>
      <c r="B102" t="s">
        <v>106</v>
      </c>
      <c r="K102" s="56" t="str">
        <f>IF(Variables!$B$25,_xlfn.IFERROR(1+0*SEARCH(Variables!$B$26,$A102),0),"")</f>
        <v/>
      </c>
    </row>
    <row r="103" spans="1:11" ht="15">
      <c r="A103" t="s">
        <v>564</v>
      </c>
      <c r="B103" t="s">
        <v>106</v>
      </c>
      <c r="K103" s="56" t="str">
        <f>IF(Variables!$B$25,_xlfn.IFERROR(1+0*SEARCH(Variables!$B$26,$A103),0),"")</f>
        <v/>
      </c>
    </row>
    <row r="104" spans="1:11" ht="15">
      <c r="A104" t="s">
        <v>565</v>
      </c>
      <c r="B104" t="s">
        <v>106</v>
      </c>
      <c r="K104" s="56" t="str">
        <f>IF(Variables!$B$25,_xlfn.IFERROR(1+0*SEARCH(Variables!$B$26,$A104),0),"")</f>
        <v/>
      </c>
    </row>
    <row r="105" spans="1:11" ht="15">
      <c r="A105" t="s">
        <v>566</v>
      </c>
      <c r="B105" t="s">
        <v>106</v>
      </c>
      <c r="K105" s="56" t="str">
        <f>IF(Variables!$B$25,_xlfn.IFERROR(1+0*SEARCH(Variables!$B$26,$A105),0),"")</f>
        <v/>
      </c>
    </row>
    <row r="106" spans="1:11" ht="15">
      <c r="A106" t="s">
        <v>567</v>
      </c>
      <c r="B106" t="s">
        <v>106</v>
      </c>
      <c r="K106" s="56" t="str">
        <f>IF(Variables!$B$25,_xlfn.IFERROR(1+0*SEARCH(Variables!$B$26,$A106),0),"")</f>
        <v/>
      </c>
    </row>
    <row r="107" spans="1:11" ht="15">
      <c r="A107" t="s">
        <v>568</v>
      </c>
      <c r="B107" t="s">
        <v>106</v>
      </c>
      <c r="K107" s="56" t="str">
        <f>IF(Variables!$B$25,_xlfn.IFERROR(1+0*SEARCH(Variables!$B$26,$A107),0),"")</f>
        <v/>
      </c>
    </row>
    <row r="108" spans="1:11" ht="15">
      <c r="A108" t="s">
        <v>569</v>
      </c>
      <c r="B108" t="s">
        <v>106</v>
      </c>
      <c r="K108" s="56" t="str">
        <f>IF(Variables!$B$25,_xlfn.IFERROR(1+0*SEARCH(Variables!$B$26,$A108),0),"")</f>
        <v/>
      </c>
    </row>
    <row r="109" spans="1:11" ht="15">
      <c r="A109" t="s">
        <v>570</v>
      </c>
      <c r="B109" t="s">
        <v>106</v>
      </c>
      <c r="K109" s="56" t="str">
        <f>IF(Variables!$B$25,_xlfn.IFERROR(1+0*SEARCH(Variables!$B$26,$A109),0),"")</f>
        <v/>
      </c>
    </row>
    <row r="110" spans="1:11" ht="15">
      <c r="A110" t="s">
        <v>571</v>
      </c>
      <c r="B110" t="s">
        <v>106</v>
      </c>
      <c r="K110" s="56" t="str">
        <f>IF(Variables!$B$25,_xlfn.IFERROR(1+0*SEARCH(Variables!$B$26,$A110),0),"")</f>
        <v/>
      </c>
    </row>
    <row r="111" spans="1:11" ht="15">
      <c r="A111" t="s">
        <v>572</v>
      </c>
      <c r="B111" t="s">
        <v>106</v>
      </c>
      <c r="K111" s="56" t="str">
        <f>IF(Variables!$B$25,_xlfn.IFERROR(1+0*SEARCH(Variables!$B$26,$A111),0),"")</f>
        <v/>
      </c>
    </row>
    <row r="112" spans="1:11" ht="15">
      <c r="A112" t="s">
        <v>573</v>
      </c>
      <c r="B112" t="s">
        <v>106</v>
      </c>
      <c r="K112" s="56" t="str">
        <f>IF(Variables!$B$25,_xlfn.IFERROR(1+0*SEARCH(Variables!$B$26,$A112),0),"")</f>
        <v/>
      </c>
    </row>
    <row r="113" spans="1:11" ht="15">
      <c r="A113" t="s">
        <v>574</v>
      </c>
      <c r="B113" t="s">
        <v>106</v>
      </c>
      <c r="K113" s="56" t="str">
        <f>IF(Variables!$B$25,_xlfn.IFERROR(1+0*SEARCH(Variables!$B$26,$A113),0),"")</f>
        <v/>
      </c>
    </row>
    <row r="114" spans="1:11" ht="15">
      <c r="A114" t="s">
        <v>575</v>
      </c>
      <c r="B114" t="s">
        <v>106</v>
      </c>
      <c r="K114" s="56" t="str">
        <f>IF(Variables!$B$25,_xlfn.IFERROR(1+0*SEARCH(Variables!$B$26,$A114),0),"")</f>
        <v/>
      </c>
    </row>
    <row r="115" spans="1:11" ht="15">
      <c r="A115" t="s">
        <v>576</v>
      </c>
      <c r="B115" t="s">
        <v>106</v>
      </c>
      <c r="K115" s="56" t="str">
        <f>IF(Variables!$B$25,_xlfn.IFERROR(1+0*SEARCH(Variables!$B$26,$A115),0),"")</f>
        <v/>
      </c>
    </row>
    <row r="116" spans="1:11" ht="15">
      <c r="A116" t="s">
        <v>577</v>
      </c>
      <c r="B116" t="s">
        <v>106</v>
      </c>
      <c r="K116" s="56" t="str">
        <f>IF(Variables!$B$25,_xlfn.IFERROR(1+0*SEARCH(Variables!$B$26,$A116),0),"")</f>
        <v/>
      </c>
    </row>
    <row r="117" spans="1:11" ht="15">
      <c r="A117" t="s">
        <v>578</v>
      </c>
      <c r="B117" t="s">
        <v>106</v>
      </c>
      <c r="K117" s="56" t="str">
        <f>IF(Variables!$B$25,_xlfn.IFERROR(1+0*SEARCH(Variables!$B$26,$A117),0),"")</f>
        <v/>
      </c>
    </row>
    <row r="118" spans="1:11" ht="15">
      <c r="A118" t="s">
        <v>579</v>
      </c>
      <c r="B118" t="s">
        <v>106</v>
      </c>
      <c r="K118" s="56" t="str">
        <f>IF(Variables!$B$25,_xlfn.IFERROR(1+0*SEARCH(Variables!$B$26,$A118),0),"")</f>
        <v/>
      </c>
    </row>
    <row r="119" spans="1:11" ht="15">
      <c r="A119" t="s">
        <v>580</v>
      </c>
      <c r="B119" t="s">
        <v>106</v>
      </c>
      <c r="K119" s="56" t="str">
        <f>IF(Variables!$B$25,_xlfn.IFERROR(1+0*SEARCH(Variables!$B$26,$A119),0),"")</f>
        <v/>
      </c>
    </row>
    <row r="120" spans="1:11" ht="15">
      <c r="A120" t="s">
        <v>581</v>
      </c>
      <c r="B120" t="s">
        <v>106</v>
      </c>
      <c r="K120" s="56" t="str">
        <f>IF(Variables!$B$25,_xlfn.IFERROR(1+0*SEARCH(Variables!$B$26,$A120),0),"")</f>
        <v/>
      </c>
    </row>
    <row r="121" spans="1:11" ht="15">
      <c r="A121" t="s">
        <v>582</v>
      </c>
      <c r="B121" t="s">
        <v>106</v>
      </c>
      <c r="K121" s="56" t="str">
        <f>IF(Variables!$B$25,_xlfn.IFERROR(1+0*SEARCH(Variables!$B$26,$A121),0),"")</f>
        <v/>
      </c>
    </row>
    <row r="122" spans="1:11" ht="15">
      <c r="A122" t="s">
        <v>583</v>
      </c>
      <c r="B122" t="s">
        <v>106</v>
      </c>
      <c r="K122" s="56" t="str">
        <f>IF(Variables!$B$25,_xlfn.IFERROR(1+0*SEARCH(Variables!$B$26,$A122),0),"")</f>
        <v/>
      </c>
    </row>
    <row r="123" spans="1:11" ht="15">
      <c r="A123" t="s">
        <v>584</v>
      </c>
      <c r="B123" t="s">
        <v>106</v>
      </c>
      <c r="K123" s="56" t="str">
        <f>IF(Variables!$B$25,_xlfn.IFERROR(1+0*SEARCH(Variables!$B$26,$A123),0),"")</f>
        <v/>
      </c>
    </row>
    <row r="124" spans="1:11" ht="15">
      <c r="A124" t="s">
        <v>585</v>
      </c>
      <c r="B124" t="s">
        <v>106</v>
      </c>
      <c r="K124" s="56" t="str">
        <f>IF(Variables!$B$25,_xlfn.IFERROR(1+0*SEARCH(Variables!$B$26,$A124),0),"")</f>
        <v/>
      </c>
    </row>
    <row r="125" spans="1:11" ht="15">
      <c r="A125" t="s">
        <v>586</v>
      </c>
      <c r="B125" t="s">
        <v>106</v>
      </c>
      <c r="K125" s="56" t="str">
        <f>IF(Variables!$B$25,_xlfn.IFERROR(1+0*SEARCH(Variables!$B$26,$A125),0),"")</f>
        <v/>
      </c>
    </row>
    <row r="126" spans="1:11" ht="15">
      <c r="A126" t="s">
        <v>587</v>
      </c>
      <c r="B126" t="s">
        <v>106</v>
      </c>
      <c r="K126" s="56" t="str">
        <f>IF(Variables!$B$25,_xlfn.IFERROR(1+0*SEARCH(Variables!$B$26,$A126),0),"")</f>
        <v/>
      </c>
    </row>
    <row r="127" spans="1:11" ht="15">
      <c r="A127" t="s">
        <v>588</v>
      </c>
      <c r="B127" t="s">
        <v>106</v>
      </c>
      <c r="K127" s="56" t="str">
        <f>IF(Variables!$B$25,_xlfn.IFERROR(1+0*SEARCH(Variables!$B$26,$A127),0),"")</f>
        <v/>
      </c>
    </row>
    <row r="128" spans="1:11" ht="15">
      <c r="A128" t="s">
        <v>589</v>
      </c>
      <c r="B128" t="s">
        <v>106</v>
      </c>
      <c r="K128" s="56" t="str">
        <f>IF(Variables!$B$25,_xlfn.IFERROR(1+0*SEARCH(Variables!$B$26,$A128),0),"")</f>
        <v/>
      </c>
    </row>
    <row r="129" spans="1:11" ht="15">
      <c r="A129" t="s">
        <v>590</v>
      </c>
      <c r="B129" t="s">
        <v>106</v>
      </c>
      <c r="K129" s="56" t="str">
        <f>IF(Variables!$B$25,_xlfn.IFERROR(1+0*SEARCH(Variables!$B$26,$A129),0),"")</f>
        <v/>
      </c>
    </row>
    <row r="130" spans="1:11" ht="15">
      <c r="A130" t="s">
        <v>591</v>
      </c>
      <c r="B130" t="s">
        <v>106</v>
      </c>
      <c r="K130" s="56" t="str">
        <f>IF(Variables!$B$25,_xlfn.IFERROR(1+0*SEARCH(Variables!$B$26,$A130),0),"")</f>
        <v/>
      </c>
    </row>
    <row r="131" spans="1:11" ht="15">
      <c r="A131" t="s">
        <v>592</v>
      </c>
      <c r="B131" t="s">
        <v>106</v>
      </c>
      <c r="K131" s="56" t="str">
        <f>IF(Variables!$B$25,_xlfn.IFERROR(1+0*SEARCH(Variables!$B$26,$A131),0),"")</f>
        <v/>
      </c>
    </row>
    <row r="132" spans="1:11" ht="15">
      <c r="A132" t="s">
        <v>593</v>
      </c>
      <c r="B132" t="s">
        <v>106</v>
      </c>
      <c r="K132" s="56" t="str">
        <f>IF(Variables!$B$25,_xlfn.IFERROR(1+0*SEARCH(Variables!$B$26,$A132),0),"")</f>
        <v/>
      </c>
    </row>
    <row r="133" spans="1:11" ht="15">
      <c r="A133" t="s">
        <v>594</v>
      </c>
      <c r="B133" t="s">
        <v>106</v>
      </c>
      <c r="K133" s="56" t="str">
        <f>IF(Variables!$B$25,_xlfn.IFERROR(1+0*SEARCH(Variables!$B$26,$A133),0),"")</f>
        <v/>
      </c>
    </row>
    <row r="134" spans="1:11" ht="15">
      <c r="A134" t="s">
        <v>595</v>
      </c>
      <c r="B134" t="s">
        <v>106</v>
      </c>
      <c r="K134" s="56" t="str">
        <f>IF(Variables!$B$25,_xlfn.IFERROR(1+0*SEARCH(Variables!$B$26,$A134),0),"")</f>
        <v/>
      </c>
    </row>
    <row r="135" spans="1:11" ht="15">
      <c r="A135" t="s">
        <v>596</v>
      </c>
      <c r="B135" t="s">
        <v>106</v>
      </c>
      <c r="K135" s="56" t="str">
        <f>IF(Variables!$B$25,_xlfn.IFERROR(1+0*SEARCH(Variables!$B$26,$A135),0),"")</f>
        <v/>
      </c>
    </row>
    <row r="136" spans="1:11" ht="15">
      <c r="A136" t="s">
        <v>597</v>
      </c>
      <c r="B136" t="s">
        <v>106</v>
      </c>
      <c r="K136" s="56" t="str">
        <f>IF(Variables!$B$25,_xlfn.IFERROR(1+0*SEARCH(Variables!$B$26,$A136),0),"")</f>
        <v/>
      </c>
    </row>
    <row r="137" spans="1:11" ht="15">
      <c r="A137" t="s">
        <v>598</v>
      </c>
      <c r="B137" t="s">
        <v>106</v>
      </c>
      <c r="K137" s="56" t="str">
        <f>IF(Variables!$B$25,_xlfn.IFERROR(1+0*SEARCH(Variables!$B$26,$A137),0),"")</f>
        <v/>
      </c>
    </row>
    <row r="138" spans="1:11" ht="15">
      <c r="A138" t="s">
        <v>599</v>
      </c>
      <c r="B138" t="s">
        <v>106</v>
      </c>
      <c r="K138" s="56" t="str">
        <f>IF(Variables!$B$25,_xlfn.IFERROR(1+0*SEARCH(Variables!$B$26,$A138),0),"")</f>
        <v/>
      </c>
    </row>
    <row r="139" spans="1:11" ht="15">
      <c r="A139" t="s">
        <v>600</v>
      </c>
      <c r="B139" t="s">
        <v>106</v>
      </c>
      <c r="K139" s="56" t="str">
        <f>IF(Variables!$B$25,_xlfn.IFERROR(1+0*SEARCH(Variables!$B$26,$A139),0),"")</f>
        <v/>
      </c>
    </row>
    <row r="140" spans="1:11" ht="15">
      <c r="A140" t="s">
        <v>601</v>
      </c>
      <c r="B140" t="s">
        <v>106</v>
      </c>
      <c r="K140" s="56" t="str">
        <f>IF(Variables!$B$25,_xlfn.IFERROR(1+0*SEARCH(Variables!$B$26,$A140),0),"")</f>
        <v/>
      </c>
    </row>
    <row r="141" spans="1:11" ht="15">
      <c r="A141" t="s">
        <v>602</v>
      </c>
      <c r="B141" t="s">
        <v>106</v>
      </c>
      <c r="K141" s="56" t="str">
        <f>IF(Variables!$B$25,_xlfn.IFERROR(1+0*SEARCH(Variables!$B$26,$A141),0),"")</f>
        <v/>
      </c>
    </row>
    <row r="142" spans="1:11" ht="15">
      <c r="A142" t="s">
        <v>603</v>
      </c>
      <c r="B142" t="s">
        <v>106</v>
      </c>
      <c r="K142" s="56" t="str">
        <f>IF(Variables!$B$25,_xlfn.IFERROR(1+0*SEARCH(Variables!$B$26,$A142),0),"")</f>
        <v/>
      </c>
    </row>
    <row r="143" spans="1:11" ht="15">
      <c r="A143" t="s">
        <v>604</v>
      </c>
      <c r="B143" t="s">
        <v>106</v>
      </c>
      <c r="K143" s="56" t="str">
        <f>IF(Variables!$B$25,_xlfn.IFERROR(1+0*SEARCH(Variables!$B$26,$A143),0),"")</f>
        <v/>
      </c>
    </row>
    <row r="144" spans="1:11" ht="15">
      <c r="A144" t="s">
        <v>605</v>
      </c>
      <c r="B144" t="s">
        <v>106</v>
      </c>
      <c r="K144" s="56" t="str">
        <f>IF(Variables!$B$25,_xlfn.IFERROR(1+0*SEARCH(Variables!$B$26,$A144),0),"")</f>
        <v/>
      </c>
    </row>
    <row r="145" spans="1:11" ht="15">
      <c r="A145" t="s">
        <v>606</v>
      </c>
      <c r="B145" t="s">
        <v>106</v>
      </c>
      <c r="K145" s="56" t="str">
        <f>IF(Variables!$B$25,_xlfn.IFERROR(1+0*SEARCH(Variables!$B$26,$A145),0),"")</f>
        <v/>
      </c>
    </row>
    <row r="146" spans="1:11" ht="15">
      <c r="A146" t="s">
        <v>607</v>
      </c>
      <c r="B146" t="s">
        <v>106</v>
      </c>
      <c r="K146" s="56" t="str">
        <f>IF(Variables!$B$25,_xlfn.IFERROR(1+0*SEARCH(Variables!$B$26,$A146),0),"")</f>
        <v/>
      </c>
    </row>
    <row r="147" spans="1:11" ht="15">
      <c r="A147" t="s">
        <v>608</v>
      </c>
      <c r="B147" t="s">
        <v>106</v>
      </c>
      <c r="K147" s="56" t="str">
        <f>IF(Variables!$B$25,_xlfn.IFERROR(1+0*SEARCH(Variables!$B$26,$A147),0),"")</f>
        <v/>
      </c>
    </row>
    <row r="148" spans="1:11" ht="15">
      <c r="A148" t="s">
        <v>609</v>
      </c>
      <c r="B148" t="s">
        <v>106</v>
      </c>
      <c r="K148" s="56" t="str">
        <f>IF(Variables!$B$25,_xlfn.IFERROR(1+0*SEARCH(Variables!$B$26,$A148),0),"")</f>
        <v/>
      </c>
    </row>
    <row r="149" spans="1:11" ht="15">
      <c r="A149" t="s">
        <v>610</v>
      </c>
      <c r="B149" t="s">
        <v>106</v>
      </c>
      <c r="K149" s="56" t="str">
        <f>IF(Variables!$B$25,_xlfn.IFERROR(1+0*SEARCH(Variables!$B$26,$A149),0),"")</f>
        <v/>
      </c>
    </row>
    <row r="150" spans="1:11" ht="15">
      <c r="A150" t="s">
        <v>611</v>
      </c>
      <c r="B150" t="s">
        <v>106</v>
      </c>
      <c r="K150" s="56" t="str">
        <f>IF(Variables!$B$25,_xlfn.IFERROR(1+0*SEARCH(Variables!$B$26,$A150),0),"")</f>
        <v/>
      </c>
    </row>
    <row r="151" spans="1:11" ht="15">
      <c r="A151" t="s">
        <v>612</v>
      </c>
      <c r="B151" t="s">
        <v>106</v>
      </c>
      <c r="K151" s="56" t="str">
        <f>IF(Variables!$B$25,_xlfn.IFERROR(1+0*SEARCH(Variables!$B$26,$A151),0),"")</f>
        <v/>
      </c>
    </row>
    <row r="152" spans="1:11" ht="15">
      <c r="A152" t="s">
        <v>613</v>
      </c>
      <c r="B152" t="s">
        <v>106</v>
      </c>
      <c r="K152" s="56" t="str">
        <f>IF(Variables!$B$25,_xlfn.IFERROR(1+0*SEARCH(Variables!$B$26,$A152),0),"")</f>
        <v/>
      </c>
    </row>
    <row r="153" spans="1:11" ht="15">
      <c r="A153" t="s">
        <v>614</v>
      </c>
      <c r="B153" t="s">
        <v>106</v>
      </c>
      <c r="K153" s="56" t="str">
        <f>IF(Variables!$B$25,_xlfn.IFERROR(1+0*SEARCH(Variables!$B$26,$A153),0),"")</f>
        <v/>
      </c>
    </row>
    <row r="154" spans="1:11" ht="15">
      <c r="A154" t="s">
        <v>615</v>
      </c>
      <c r="B154" t="s">
        <v>106</v>
      </c>
      <c r="K154" s="56" t="str">
        <f>IF(Variables!$B$25,_xlfn.IFERROR(1+0*SEARCH(Variables!$B$26,$A154),0),"")</f>
        <v/>
      </c>
    </row>
    <row r="155" spans="1:11" ht="15">
      <c r="A155" t="s">
        <v>616</v>
      </c>
      <c r="B155" t="s">
        <v>106</v>
      </c>
      <c r="K155" s="56" t="str">
        <f>IF(Variables!$B$25,_xlfn.IFERROR(1+0*SEARCH(Variables!$B$26,$A155),0),"")</f>
        <v/>
      </c>
    </row>
    <row r="156" spans="1:11" ht="15">
      <c r="A156" t="s">
        <v>617</v>
      </c>
      <c r="B156" t="s">
        <v>106</v>
      </c>
      <c r="K156" s="56" t="str">
        <f>IF(Variables!$B$25,_xlfn.IFERROR(1+0*SEARCH(Variables!$B$26,$A156),0),"")</f>
        <v/>
      </c>
    </row>
    <row r="157" spans="1:11" ht="15">
      <c r="A157" t="s">
        <v>618</v>
      </c>
      <c r="B157" t="s">
        <v>106</v>
      </c>
      <c r="K157" s="56" t="str">
        <f>IF(Variables!$B$25,_xlfn.IFERROR(1+0*SEARCH(Variables!$B$26,$A157),0),"")</f>
        <v/>
      </c>
    </row>
    <row r="158" spans="1:11" ht="15">
      <c r="A158" t="s">
        <v>619</v>
      </c>
      <c r="B158" t="s">
        <v>94</v>
      </c>
      <c r="K158" s="56" t="str">
        <f>IF(Variables!$B$25,_xlfn.IFERROR(1+0*SEARCH(Variables!$B$26,$A158),0),"")</f>
        <v/>
      </c>
    </row>
    <row r="159" spans="1:11" ht="15">
      <c r="A159" t="s">
        <v>620</v>
      </c>
      <c r="B159" t="s">
        <v>106</v>
      </c>
      <c r="K159" s="56" t="str">
        <f>IF(Variables!$B$25,_xlfn.IFERROR(1+0*SEARCH(Variables!$B$26,$A159),0),"")</f>
        <v/>
      </c>
    </row>
    <row r="160" spans="1:11" ht="15">
      <c r="A160" t="s">
        <v>621</v>
      </c>
      <c r="B160" t="s">
        <v>106</v>
      </c>
      <c r="K160" s="56" t="str">
        <f>IF(Variables!$B$25,_xlfn.IFERROR(1+0*SEARCH(Variables!$B$26,$A160),0),"")</f>
        <v/>
      </c>
    </row>
    <row r="161" spans="1:11" ht="15">
      <c r="A161" t="s">
        <v>622</v>
      </c>
      <c r="B161" t="s">
        <v>106</v>
      </c>
      <c r="K161" s="56" t="str">
        <f>IF(Variables!$B$25,_xlfn.IFERROR(1+0*SEARCH(Variables!$B$26,$A161),0),"")</f>
        <v/>
      </c>
    </row>
    <row r="162" spans="1:11" ht="15">
      <c r="A162" t="s">
        <v>623</v>
      </c>
      <c r="B162" t="s">
        <v>106</v>
      </c>
      <c r="K162" s="56" t="str">
        <f>IF(Variables!$B$25,_xlfn.IFERROR(1+0*SEARCH(Variables!$B$26,$A162),0),"")</f>
        <v/>
      </c>
    </row>
    <row r="163" spans="1:11" ht="15">
      <c r="A163" t="s">
        <v>624</v>
      </c>
      <c r="B163" t="s">
        <v>106</v>
      </c>
      <c r="K163" s="56" t="str">
        <f>IF(Variables!$B$25,_xlfn.IFERROR(1+0*SEARCH(Variables!$B$26,$A163),0),"")</f>
        <v/>
      </c>
    </row>
    <row r="164" spans="1:11" ht="15">
      <c r="A164" t="s">
        <v>625</v>
      </c>
      <c r="B164" t="s">
        <v>106</v>
      </c>
      <c r="K164" s="56" t="str">
        <f>IF(Variables!$B$25,_xlfn.IFERROR(1+0*SEARCH(Variables!$B$26,$A164),0),"")</f>
        <v/>
      </c>
    </row>
    <row r="165" spans="1:11" ht="15">
      <c r="A165" t="s">
        <v>626</v>
      </c>
      <c r="B165" t="s">
        <v>106</v>
      </c>
      <c r="K165" s="56" t="str">
        <f>IF(Variables!$B$25,_xlfn.IFERROR(1+0*SEARCH(Variables!$B$26,$A165),0),"")</f>
        <v/>
      </c>
    </row>
    <row r="166" spans="1:11" ht="15">
      <c r="A166" t="s">
        <v>627</v>
      </c>
      <c r="B166" t="s">
        <v>106</v>
      </c>
      <c r="K166" s="56" t="str">
        <f>IF(Variables!$B$25,_xlfn.IFERROR(1+0*SEARCH(Variables!$B$26,$A166),0),"")</f>
        <v/>
      </c>
    </row>
    <row r="167" spans="1:11" ht="15">
      <c r="A167" t="s">
        <v>628</v>
      </c>
      <c r="B167" t="s">
        <v>106</v>
      </c>
      <c r="K167" s="56" t="str">
        <f>IF(Variables!$B$25,_xlfn.IFERROR(1+0*SEARCH(Variables!$B$26,$A167),0),"")</f>
        <v/>
      </c>
    </row>
    <row r="168" spans="1:11" ht="15">
      <c r="A168" t="s">
        <v>629</v>
      </c>
      <c r="B168" t="s">
        <v>106</v>
      </c>
      <c r="K168" s="56" t="str">
        <f>IF(Variables!$B$25,_xlfn.IFERROR(1+0*SEARCH(Variables!$B$26,$A168),0),"")</f>
        <v/>
      </c>
    </row>
    <row r="169" spans="1:11" ht="15">
      <c r="A169" t="s">
        <v>630</v>
      </c>
      <c r="B169" t="s">
        <v>106</v>
      </c>
      <c r="K169" s="56" t="str">
        <f>IF(Variables!$B$25,_xlfn.IFERROR(1+0*SEARCH(Variables!$B$26,$A169),0),"")</f>
        <v/>
      </c>
    </row>
    <row r="170" spans="1:11" ht="15">
      <c r="A170" t="s">
        <v>631</v>
      </c>
      <c r="B170" t="s">
        <v>106</v>
      </c>
      <c r="K170" s="56" t="str">
        <f>IF(Variables!$B$25,_xlfn.IFERROR(1+0*SEARCH(Variables!$B$26,$A170),0),"")</f>
        <v/>
      </c>
    </row>
    <row r="171" spans="1:11" ht="15">
      <c r="A171" t="s">
        <v>632</v>
      </c>
      <c r="B171" t="s">
        <v>106</v>
      </c>
      <c r="K171" s="56" t="str">
        <f>IF(Variables!$B$25,_xlfn.IFERROR(1+0*SEARCH(Variables!$B$26,$A171),0),"")</f>
        <v/>
      </c>
    </row>
    <row r="172" spans="1:11" ht="15">
      <c r="A172" t="s">
        <v>633</v>
      </c>
      <c r="B172" t="s">
        <v>106</v>
      </c>
      <c r="K172" s="56" t="str">
        <f>IF(Variables!$B$25,_xlfn.IFERROR(1+0*SEARCH(Variables!$B$26,$A172),0),"")</f>
        <v/>
      </c>
    </row>
    <row r="173" spans="1:11" ht="15">
      <c r="A173" t="s">
        <v>634</v>
      </c>
      <c r="B173" t="s">
        <v>106</v>
      </c>
      <c r="K173" s="56" t="str">
        <f>IF(Variables!$B$25,_xlfn.IFERROR(1+0*SEARCH(Variables!$B$26,$A173),0),"")</f>
        <v/>
      </c>
    </row>
    <row r="174" spans="1:11" ht="15">
      <c r="A174" t="s">
        <v>635</v>
      </c>
      <c r="B174" t="s">
        <v>106</v>
      </c>
      <c r="K174" s="56" t="str">
        <f>IF(Variables!$B$25,_xlfn.IFERROR(1+0*SEARCH(Variables!$B$26,$A174),0),"")</f>
        <v/>
      </c>
    </row>
    <row r="175" spans="1:11" ht="15">
      <c r="A175" t="s">
        <v>133</v>
      </c>
      <c r="B175" t="s">
        <v>101</v>
      </c>
      <c r="K175" s="56" t="str">
        <f>IF(Variables!$B$25,_xlfn.IFERROR(1+0*SEARCH(Variables!$B$26,$A175),0),"")</f>
        <v/>
      </c>
    </row>
    <row r="176" spans="1:11" ht="15">
      <c r="A176" t="s">
        <v>636</v>
      </c>
      <c r="B176" t="s">
        <v>94</v>
      </c>
      <c r="K176" s="56" t="str">
        <f>IF(Variables!$B$25,_xlfn.IFERROR(1+0*SEARCH(Variables!$B$26,$A176),0),"")</f>
        <v/>
      </c>
    </row>
    <row r="177" spans="1:11" ht="15">
      <c r="A177" t="s">
        <v>637</v>
      </c>
      <c r="B177" t="s">
        <v>94</v>
      </c>
      <c r="K177" s="56" t="str">
        <f>IF(Variables!$B$25,_xlfn.IFERROR(1+0*SEARCH(Variables!$B$26,$A177),0),"")</f>
        <v/>
      </c>
    </row>
    <row r="178" spans="1:11" ht="15">
      <c r="A178" t="s">
        <v>638</v>
      </c>
      <c r="B178" t="s">
        <v>94</v>
      </c>
      <c r="K178" s="56" t="str">
        <f>IF(Variables!$B$25,_xlfn.IFERROR(1+0*SEARCH(Variables!$B$26,$A178),0),"")</f>
        <v/>
      </c>
    </row>
    <row r="179" spans="1:11" ht="15">
      <c r="A179" t="s">
        <v>134</v>
      </c>
      <c r="B179" t="s">
        <v>94</v>
      </c>
      <c r="K179" s="56" t="str">
        <f>IF(Variables!$B$25,_xlfn.IFERROR(1+0*SEARCH(Variables!$B$26,$A179),0),"")</f>
        <v/>
      </c>
    </row>
    <row r="180" spans="1:11" ht="15">
      <c r="A180" t="s">
        <v>135</v>
      </c>
      <c r="B180" t="s">
        <v>94</v>
      </c>
      <c r="K180" s="56" t="str">
        <f>IF(Variables!$B$25,_xlfn.IFERROR(1+0*SEARCH(Variables!$B$26,$A180),0),"")</f>
        <v/>
      </c>
    </row>
    <row r="181" spans="1:11" ht="15">
      <c r="A181" t="s">
        <v>136</v>
      </c>
      <c r="B181" t="s">
        <v>94</v>
      </c>
      <c r="K181" s="56" t="str">
        <f>IF(Variables!$B$25,_xlfn.IFERROR(1+0*SEARCH(Variables!$B$26,$A181),0),"")</f>
        <v/>
      </c>
    </row>
    <row r="182" spans="1:11" ht="15">
      <c r="A182" t="s">
        <v>137</v>
      </c>
      <c r="B182" t="s">
        <v>106</v>
      </c>
      <c r="K182" s="56" t="str">
        <f>IF(Variables!$B$25,_xlfn.IFERROR(1+0*SEARCH(Variables!$B$26,$A182),0),"")</f>
        <v/>
      </c>
    </row>
    <row r="183" spans="1:11" ht="15">
      <c r="A183" t="s">
        <v>138</v>
      </c>
      <c r="B183" t="s">
        <v>106</v>
      </c>
      <c r="K183" s="56" t="str">
        <f>IF(Variables!$B$25,_xlfn.IFERROR(1+0*SEARCH(Variables!$B$26,$A183),0),"")</f>
        <v/>
      </c>
    </row>
    <row r="184" spans="1:11" ht="15">
      <c r="A184" t="s">
        <v>139</v>
      </c>
      <c r="B184" t="s">
        <v>106</v>
      </c>
      <c r="K184" s="56" t="str">
        <f>IF(Variables!$B$25,_xlfn.IFERROR(1+0*SEARCH(Variables!$B$26,$A184),0),"")</f>
        <v/>
      </c>
    </row>
    <row r="185" spans="1:11" ht="15">
      <c r="A185" t="s">
        <v>639</v>
      </c>
      <c r="B185" t="s">
        <v>94</v>
      </c>
      <c r="K185" s="56" t="str">
        <f>IF(Variables!$B$25,_xlfn.IFERROR(1+0*SEARCH(Variables!$B$26,$A185),0),"")</f>
        <v/>
      </c>
    </row>
    <row r="186" spans="1:11" ht="15">
      <c r="A186" t="s">
        <v>640</v>
      </c>
      <c r="B186" t="s">
        <v>94</v>
      </c>
      <c r="K186" s="56" t="str">
        <f>IF(Variables!$B$25,_xlfn.IFERROR(1+0*SEARCH(Variables!$B$26,$A186),0),"")</f>
        <v/>
      </c>
    </row>
    <row r="187" spans="1:11" ht="15">
      <c r="A187" t="s">
        <v>641</v>
      </c>
      <c r="B187" t="s">
        <v>94</v>
      </c>
      <c r="K187" s="56" t="str">
        <f>IF(Variables!$B$25,_xlfn.IFERROR(1+0*SEARCH(Variables!$B$26,$A187),0),"")</f>
        <v/>
      </c>
    </row>
    <row r="188" spans="1:11" ht="15">
      <c r="A188" t="s">
        <v>642</v>
      </c>
      <c r="B188" t="s">
        <v>94</v>
      </c>
      <c r="K188" s="56" t="str">
        <f>IF(Variables!$B$25,_xlfn.IFERROR(1+0*SEARCH(Variables!$B$26,$A188),0),"")</f>
        <v/>
      </c>
    </row>
    <row r="189" spans="1:11" ht="15">
      <c r="A189" t="s">
        <v>643</v>
      </c>
      <c r="B189" t="s">
        <v>94</v>
      </c>
      <c r="K189" s="56" t="str">
        <f>IF(Variables!$B$25,_xlfn.IFERROR(1+0*SEARCH(Variables!$B$26,$A189),0),"")</f>
        <v/>
      </c>
    </row>
    <row r="190" spans="1:11" ht="15">
      <c r="A190" t="s">
        <v>644</v>
      </c>
      <c r="B190" t="s">
        <v>94</v>
      </c>
      <c r="K190" s="56" t="str">
        <f>IF(Variables!$B$25,_xlfn.IFERROR(1+0*SEARCH(Variables!$B$26,$A190),0),"")</f>
        <v/>
      </c>
    </row>
    <row r="191" spans="1:11" ht="15">
      <c r="A191" t="s">
        <v>645</v>
      </c>
      <c r="B191" t="s">
        <v>94</v>
      </c>
      <c r="K191" s="56" t="str">
        <f>IF(Variables!$B$25,_xlfn.IFERROR(1+0*SEARCH(Variables!$B$26,$A191),0),"")</f>
        <v/>
      </c>
    </row>
    <row r="192" spans="1:12" ht="15">
      <c r="A192" t="s">
        <v>140</v>
      </c>
      <c r="B192" t="s">
        <v>109</v>
      </c>
      <c r="K192" s="56" t="str">
        <f>IF(Variables!$B$25,_xlfn.IFERROR(1+0*SEARCH(Variables!$B$26,$A192),0),"")</f>
        <v/>
      </c>
      <c r="L192" t="s">
        <v>478</v>
      </c>
    </row>
    <row r="193" spans="1:11" ht="15">
      <c r="A193" t="s">
        <v>646</v>
      </c>
      <c r="B193" t="s">
        <v>109</v>
      </c>
      <c r="K193" s="56" t="str">
        <f>IF(Variables!$B$25,_xlfn.IFERROR(1+0*SEARCH(Variables!$B$26,$A193),0),"")</f>
        <v/>
      </c>
    </row>
    <row r="194" spans="1:11" ht="15">
      <c r="A194" t="s">
        <v>647</v>
      </c>
      <c r="B194" t="s">
        <v>106</v>
      </c>
      <c r="K194" s="56" t="str">
        <f>IF(Variables!$B$25,_xlfn.IFERROR(1+0*SEARCH(Variables!$B$26,$A194),0),"")</f>
        <v/>
      </c>
    </row>
    <row r="195" spans="1:11" ht="15">
      <c r="A195" t="s">
        <v>141</v>
      </c>
      <c r="B195" t="s">
        <v>94</v>
      </c>
      <c r="K195" s="56" t="str">
        <f>IF(Variables!$B$25,_xlfn.IFERROR(1+0*SEARCH(Variables!$B$26,$A195),0),"")</f>
        <v/>
      </c>
    </row>
    <row r="196" spans="1:11" ht="15">
      <c r="A196" t="s">
        <v>142</v>
      </c>
      <c r="B196" t="s">
        <v>94</v>
      </c>
      <c r="K196" s="56" t="str">
        <f>IF(Variables!$B$25,_xlfn.IFERROR(1+0*SEARCH(Variables!$B$26,$A196),0),"")</f>
        <v/>
      </c>
    </row>
    <row r="197" spans="1:11" ht="15">
      <c r="A197" t="s">
        <v>143</v>
      </c>
      <c r="B197" t="s">
        <v>109</v>
      </c>
      <c r="K197" s="56" t="str">
        <f>IF(Variables!$B$25,_xlfn.IFERROR(1+0*SEARCH(Variables!$B$26,$A197),0),"")</f>
        <v/>
      </c>
    </row>
    <row r="198" spans="1:12" ht="15">
      <c r="A198" t="s">
        <v>144</v>
      </c>
      <c r="B198" t="s">
        <v>109</v>
      </c>
      <c r="K198" s="56" t="str">
        <f>IF(Variables!$B$25,_xlfn.IFERROR(1+0*SEARCH(Variables!$B$26,$A198),0),"")</f>
        <v/>
      </c>
      <c r="L198" t="s">
        <v>479</v>
      </c>
    </row>
    <row r="199" spans="1:11" ht="15">
      <c r="A199" t="s">
        <v>648</v>
      </c>
      <c r="B199" t="s">
        <v>101</v>
      </c>
      <c r="K199" s="56" t="str">
        <f>IF(Variables!$B$25,_xlfn.IFERROR(1+0*SEARCH(Variables!$B$26,$A199),0),"")</f>
        <v/>
      </c>
    </row>
    <row r="200" spans="1:11" ht="15">
      <c r="A200" t="s">
        <v>145</v>
      </c>
      <c r="B200" t="s">
        <v>101</v>
      </c>
      <c r="K200" s="56" t="str">
        <f>IF(Variables!$B$25,_xlfn.IFERROR(1+0*SEARCH(Variables!$B$26,$A200),0),"")</f>
        <v/>
      </c>
    </row>
    <row r="201" spans="1:11" ht="15">
      <c r="A201" t="s">
        <v>146</v>
      </c>
      <c r="B201" t="s">
        <v>101</v>
      </c>
      <c r="K201" s="56" t="str">
        <f>IF(Variables!$B$25,_xlfn.IFERROR(1+0*SEARCH(Variables!$B$26,$A201),0),"")</f>
        <v/>
      </c>
    </row>
    <row r="202" spans="1:11" ht="15">
      <c r="A202" t="s">
        <v>649</v>
      </c>
      <c r="B202" t="s">
        <v>106</v>
      </c>
      <c r="K202" s="56" t="str">
        <f>IF(Variables!$B$25,_xlfn.IFERROR(1+0*SEARCH(Variables!$B$26,$A202),0),"")</f>
        <v/>
      </c>
    </row>
    <row r="203" spans="1:11" ht="15">
      <c r="A203" t="s">
        <v>650</v>
      </c>
      <c r="B203" t="s">
        <v>106</v>
      </c>
      <c r="K203" s="56" t="str">
        <f>IF(Variables!$B$25,_xlfn.IFERROR(1+0*SEARCH(Variables!$B$26,$A203),0),"")</f>
        <v/>
      </c>
    </row>
    <row r="204" spans="1:11" ht="15">
      <c r="A204" t="s">
        <v>651</v>
      </c>
      <c r="B204" t="s">
        <v>106</v>
      </c>
      <c r="K204" s="56" t="str">
        <f>IF(Variables!$B$25,_xlfn.IFERROR(1+0*SEARCH(Variables!$B$26,$A204),0),"")</f>
        <v/>
      </c>
    </row>
    <row r="205" spans="1:11" ht="15">
      <c r="A205" t="s">
        <v>652</v>
      </c>
      <c r="B205" t="s">
        <v>106</v>
      </c>
      <c r="K205" s="56" t="str">
        <f>IF(Variables!$B$25,_xlfn.IFERROR(1+0*SEARCH(Variables!$B$26,$A205),0),"")</f>
        <v/>
      </c>
    </row>
    <row r="206" spans="1:11" ht="15">
      <c r="A206" t="s">
        <v>653</v>
      </c>
      <c r="B206" t="s">
        <v>106</v>
      </c>
      <c r="K206" s="56" t="str">
        <f>IF(Variables!$B$25,_xlfn.IFERROR(1+0*SEARCH(Variables!$B$26,$A206),0),"")</f>
        <v/>
      </c>
    </row>
    <row r="207" spans="1:11" ht="15">
      <c r="A207" t="s">
        <v>654</v>
      </c>
      <c r="B207" t="s">
        <v>106</v>
      </c>
      <c r="K207" s="56" t="str">
        <f>IF(Variables!$B$25,_xlfn.IFERROR(1+0*SEARCH(Variables!$B$26,$A207),0),"")</f>
        <v/>
      </c>
    </row>
    <row r="208" spans="1:11" ht="15">
      <c r="A208" t="s">
        <v>655</v>
      </c>
      <c r="B208" t="s">
        <v>106</v>
      </c>
      <c r="K208" s="56" t="str">
        <f>IF(Variables!$B$25,_xlfn.IFERROR(1+0*SEARCH(Variables!$B$26,$A208),0),"")</f>
        <v/>
      </c>
    </row>
    <row r="209" spans="1:11" ht="15">
      <c r="A209" t="s">
        <v>656</v>
      </c>
      <c r="B209" t="s">
        <v>106</v>
      </c>
      <c r="K209" s="56" t="str">
        <f>IF(Variables!$B$25,_xlfn.IFERROR(1+0*SEARCH(Variables!$B$26,$A209),0),"")</f>
        <v/>
      </c>
    </row>
    <row r="210" spans="1:11" ht="15">
      <c r="A210" t="s">
        <v>657</v>
      </c>
      <c r="B210" t="s">
        <v>106</v>
      </c>
      <c r="K210" s="56" t="str">
        <f>IF(Variables!$B$25,_xlfn.IFERROR(1+0*SEARCH(Variables!$B$26,$A210),0),"")</f>
        <v/>
      </c>
    </row>
    <row r="211" spans="1:11" ht="15">
      <c r="A211" t="s">
        <v>658</v>
      </c>
      <c r="B211" t="s">
        <v>106</v>
      </c>
      <c r="K211" s="56" t="str">
        <f>IF(Variables!$B$25,_xlfn.IFERROR(1+0*SEARCH(Variables!$B$26,$A211),0),"")</f>
        <v/>
      </c>
    </row>
    <row r="212" spans="1:11" ht="15">
      <c r="A212" t="s">
        <v>659</v>
      </c>
      <c r="B212" t="s">
        <v>106</v>
      </c>
      <c r="K212" s="56" t="str">
        <f>IF(Variables!$B$25,_xlfn.IFERROR(1+0*SEARCH(Variables!$B$26,$A212),0),"")</f>
        <v/>
      </c>
    </row>
    <row r="213" spans="1:11" ht="15">
      <c r="A213" t="s">
        <v>660</v>
      </c>
      <c r="B213" t="s">
        <v>106</v>
      </c>
      <c r="K213" s="56" t="str">
        <f>IF(Variables!$B$25,_xlfn.IFERROR(1+0*SEARCH(Variables!$B$26,$A213),0),"")</f>
        <v/>
      </c>
    </row>
    <row r="214" spans="1:11" ht="15">
      <c r="A214" t="s">
        <v>661</v>
      </c>
      <c r="B214" t="s">
        <v>106</v>
      </c>
      <c r="K214" s="56" t="str">
        <f>IF(Variables!$B$25,_xlfn.IFERROR(1+0*SEARCH(Variables!$B$26,$A214),0),"")</f>
        <v/>
      </c>
    </row>
    <row r="215" spans="1:11" ht="15">
      <c r="A215" t="s">
        <v>662</v>
      </c>
      <c r="B215" t="s">
        <v>106</v>
      </c>
      <c r="K215" s="56" t="str">
        <f>IF(Variables!$B$25,_xlfn.IFERROR(1+0*SEARCH(Variables!$B$26,$A215),0),"")</f>
        <v/>
      </c>
    </row>
    <row r="216" spans="1:11" ht="15">
      <c r="A216" t="s">
        <v>663</v>
      </c>
      <c r="B216" t="s">
        <v>106</v>
      </c>
      <c r="K216" s="56" t="str">
        <f>IF(Variables!$B$25,_xlfn.IFERROR(1+0*SEARCH(Variables!$B$26,$A216),0),"")</f>
        <v/>
      </c>
    </row>
    <row r="217" spans="1:11" ht="15">
      <c r="A217" t="s">
        <v>664</v>
      </c>
      <c r="B217" t="s">
        <v>106</v>
      </c>
      <c r="K217" s="56" t="str">
        <f>IF(Variables!$B$25,_xlfn.IFERROR(1+0*SEARCH(Variables!$B$26,$A217),0),"")</f>
        <v/>
      </c>
    </row>
    <row r="218" spans="1:12" ht="15">
      <c r="A218" t="s">
        <v>147</v>
      </c>
      <c r="B218" t="s">
        <v>109</v>
      </c>
      <c r="K218" s="56" t="str">
        <f>IF(Variables!$B$25,_xlfn.IFERROR(1+0*SEARCH(Variables!$B$26,$A218),0),"")</f>
        <v/>
      </c>
      <c r="L218" t="s">
        <v>480</v>
      </c>
    </row>
    <row r="219" spans="1:11" ht="15">
      <c r="A219" t="s">
        <v>148</v>
      </c>
      <c r="B219" t="s">
        <v>109</v>
      </c>
      <c r="K219" s="56" t="str">
        <f>IF(Variables!$B$25,_xlfn.IFERROR(1+0*SEARCH(Variables!$B$26,$A219),0),"")</f>
        <v/>
      </c>
    </row>
    <row r="220" spans="1:11" ht="15">
      <c r="A220" t="s">
        <v>665</v>
      </c>
      <c r="B220" t="s">
        <v>94</v>
      </c>
      <c r="K220" s="56" t="str">
        <f>IF(Variables!$B$25,_xlfn.IFERROR(1+0*SEARCH(Variables!$B$26,$A220),0),"")</f>
        <v/>
      </c>
    </row>
    <row r="221" spans="1:11" ht="15">
      <c r="A221" t="s">
        <v>666</v>
      </c>
      <c r="B221" t="s">
        <v>94</v>
      </c>
      <c r="K221" s="56" t="str">
        <f>IF(Variables!$B$25,_xlfn.IFERROR(1+0*SEARCH(Variables!$B$26,$A221),0),"")</f>
        <v/>
      </c>
    </row>
    <row r="222" spans="1:11" ht="15">
      <c r="A222" t="s">
        <v>149</v>
      </c>
      <c r="B222" t="s">
        <v>94</v>
      </c>
      <c r="K222" s="56" t="str">
        <f>IF(Variables!$B$25,_xlfn.IFERROR(1+0*SEARCH(Variables!$B$26,$A222),0),"")</f>
        <v/>
      </c>
    </row>
    <row r="223" spans="1:11" ht="15">
      <c r="A223" t="s">
        <v>150</v>
      </c>
      <c r="B223" t="s">
        <v>94</v>
      </c>
      <c r="K223" s="56" t="str">
        <f>IF(Variables!$B$25,_xlfn.IFERROR(1+0*SEARCH(Variables!$B$26,$A223),0),"")</f>
        <v/>
      </c>
    </row>
    <row r="224" spans="1:11" ht="15">
      <c r="A224" t="s">
        <v>151</v>
      </c>
      <c r="B224" t="s">
        <v>94</v>
      </c>
      <c r="K224" s="56" t="str">
        <f>IF(Variables!$B$25,_xlfn.IFERROR(1+0*SEARCH(Variables!$B$26,$A224),0),"")</f>
        <v/>
      </c>
    </row>
    <row r="225" spans="1:11" ht="15">
      <c r="A225" t="s">
        <v>667</v>
      </c>
      <c r="B225" t="s">
        <v>94</v>
      </c>
      <c r="K225" s="56" t="str">
        <f>IF(Variables!$B$25,_xlfn.IFERROR(1+0*SEARCH(Variables!$B$26,$A225),0),"")</f>
        <v/>
      </c>
    </row>
    <row r="226" spans="1:11" ht="15">
      <c r="A226" t="s">
        <v>668</v>
      </c>
      <c r="B226" t="s">
        <v>94</v>
      </c>
      <c r="K226" s="56" t="str">
        <f>IF(Variables!$B$25,_xlfn.IFERROR(1+0*SEARCH(Variables!$B$26,$A226),0),"")</f>
        <v/>
      </c>
    </row>
    <row r="227" spans="1:11" ht="15">
      <c r="A227" t="s">
        <v>152</v>
      </c>
      <c r="B227" t="s">
        <v>101</v>
      </c>
      <c r="K227" s="56" t="str">
        <f>IF(Variables!$B$25,_xlfn.IFERROR(1+0*SEARCH(Variables!$B$26,$A227),0),"")</f>
        <v/>
      </c>
    </row>
    <row r="228" spans="1:11" ht="15">
      <c r="A228" t="s">
        <v>15</v>
      </c>
      <c r="B228" t="s">
        <v>101</v>
      </c>
      <c r="K228" s="56" t="str">
        <f>IF(Variables!$B$25,_xlfn.IFERROR(1+0*SEARCH(Variables!$B$26,$A228),0),"")</f>
        <v/>
      </c>
    </row>
    <row r="229" spans="1:11" ht="15">
      <c r="A229" t="s">
        <v>153</v>
      </c>
      <c r="B229" t="s">
        <v>109</v>
      </c>
      <c r="K229" s="56" t="str">
        <f>IF(Variables!$B$25,_xlfn.IFERROR(1+0*SEARCH(Variables!$B$26,$A229),0),"")</f>
        <v/>
      </c>
    </row>
    <row r="230" spans="1:12" ht="15">
      <c r="A230" t="s">
        <v>154</v>
      </c>
      <c r="B230" t="s">
        <v>109</v>
      </c>
      <c r="K230" s="56" t="str">
        <f>IF(Variables!$B$25,_xlfn.IFERROR(1+0*SEARCH(Variables!$B$26,$A230),0),"")</f>
        <v/>
      </c>
      <c r="L230" t="s">
        <v>481</v>
      </c>
    </row>
    <row r="231" spans="1:11" ht="15">
      <c r="A231" t="s">
        <v>155</v>
      </c>
      <c r="B231" t="s">
        <v>109</v>
      </c>
      <c r="K231" s="56" t="str">
        <f>IF(Variables!$B$25,_xlfn.IFERROR(1+0*SEARCH(Variables!$B$26,$A231),0),"")</f>
        <v/>
      </c>
    </row>
    <row r="232" spans="1:12" ht="15">
      <c r="A232" t="s">
        <v>669</v>
      </c>
      <c r="B232" t="s">
        <v>109</v>
      </c>
      <c r="K232" s="56" t="str">
        <f>IF(Variables!$B$25,_xlfn.IFERROR(1+0*SEARCH(Variables!$B$26,$A232),0),"")</f>
        <v/>
      </c>
      <c r="L232" t="s">
        <v>482</v>
      </c>
    </row>
    <row r="233" spans="1:11" ht="15">
      <c r="A233" t="s">
        <v>670</v>
      </c>
      <c r="B233" t="s">
        <v>94</v>
      </c>
      <c r="K233" s="56" t="str">
        <f>IF(Variables!$B$25,_xlfn.IFERROR(1+0*SEARCH(Variables!$B$26,$A233),0),"")</f>
        <v/>
      </c>
    </row>
    <row r="234" spans="1:11" ht="15">
      <c r="A234" t="s">
        <v>156</v>
      </c>
      <c r="B234" t="s">
        <v>101</v>
      </c>
      <c r="K234" s="56" t="str">
        <f>IF(Variables!$B$25,_xlfn.IFERROR(1+0*SEARCH(Variables!$B$26,$A234),0),"")</f>
        <v/>
      </c>
    </row>
    <row r="235" spans="1:11" ht="15">
      <c r="A235" t="s">
        <v>157</v>
      </c>
      <c r="B235" t="s">
        <v>106</v>
      </c>
      <c r="K235" s="56" t="str">
        <f>IF(Variables!$B$25,_xlfn.IFERROR(1+0*SEARCH(Variables!$B$26,$A235),0),"")</f>
        <v/>
      </c>
    </row>
    <row r="236" spans="1:11" ht="15">
      <c r="A236" t="s">
        <v>671</v>
      </c>
      <c r="B236" t="s">
        <v>106</v>
      </c>
      <c r="K236" s="56" t="str">
        <f>IF(Variables!$B$25,_xlfn.IFERROR(1+0*SEARCH(Variables!$B$26,$A236),0),"")</f>
        <v/>
      </c>
    </row>
    <row r="237" spans="1:11" ht="15">
      <c r="A237" t="s">
        <v>672</v>
      </c>
      <c r="B237" t="s">
        <v>106</v>
      </c>
      <c r="K237" s="56" t="str">
        <f>IF(Variables!$B$25,_xlfn.IFERROR(1+0*SEARCH(Variables!$B$26,$A237),0),"")</f>
        <v/>
      </c>
    </row>
    <row r="238" spans="1:11" ht="15">
      <c r="A238" t="s">
        <v>16</v>
      </c>
      <c r="B238" t="s">
        <v>94</v>
      </c>
      <c r="K238" s="56" t="str">
        <f>IF(Variables!$B$25,_xlfn.IFERROR(1+0*SEARCH(Variables!$B$26,$A238),0),"")</f>
        <v/>
      </c>
    </row>
    <row r="239" spans="1:11" ht="15">
      <c r="A239" t="s">
        <v>158</v>
      </c>
      <c r="B239" t="s">
        <v>94</v>
      </c>
      <c r="K239" s="56" t="str">
        <f>IF(Variables!$B$25,_xlfn.IFERROR(1+0*SEARCH(Variables!$B$26,$A239),0),"")</f>
        <v/>
      </c>
    </row>
    <row r="240" spans="1:11" ht="15">
      <c r="A240" t="s">
        <v>159</v>
      </c>
      <c r="B240" t="s">
        <v>94</v>
      </c>
      <c r="K240" s="56" t="str">
        <f>IF(Variables!$B$25,_xlfn.IFERROR(1+0*SEARCH(Variables!$B$26,$A240),0),"")</f>
        <v/>
      </c>
    </row>
    <row r="241" spans="1:12" ht="15">
      <c r="A241" t="s">
        <v>673</v>
      </c>
      <c r="B241" t="s">
        <v>109</v>
      </c>
      <c r="K241" s="56" t="str">
        <f>IF(Variables!$B$25,_xlfn.IFERROR(1+0*SEARCH(Variables!$B$26,$A241),0),"")</f>
        <v/>
      </c>
      <c r="L241" t="s">
        <v>483</v>
      </c>
    </row>
    <row r="242" spans="1:11" ht="15">
      <c r="A242" t="s">
        <v>674</v>
      </c>
      <c r="B242" t="s">
        <v>106</v>
      </c>
      <c r="K242" s="56" t="str">
        <f>IF(Variables!$B$25,_xlfn.IFERROR(1+0*SEARCH(Variables!$B$26,$A242),0),"")</f>
        <v/>
      </c>
    </row>
    <row r="243" spans="1:11" ht="15">
      <c r="A243" t="s">
        <v>675</v>
      </c>
      <c r="B243" t="s">
        <v>106</v>
      </c>
      <c r="K243" s="56" t="str">
        <f>IF(Variables!$B$25,_xlfn.IFERROR(1+0*SEARCH(Variables!$B$26,$A243),0),"")</f>
        <v/>
      </c>
    </row>
    <row r="244" spans="1:11" ht="15">
      <c r="A244" t="s">
        <v>676</v>
      </c>
      <c r="B244" t="s">
        <v>94</v>
      </c>
      <c r="K244" s="56" t="str">
        <f>IF(Variables!$B$25,_xlfn.IFERROR(1+0*SEARCH(Variables!$B$26,$A244),0),"")</f>
        <v/>
      </c>
    </row>
    <row r="245" spans="1:11" ht="15">
      <c r="A245" t="s">
        <v>677</v>
      </c>
      <c r="B245" t="s">
        <v>94</v>
      </c>
      <c r="K245" s="56" t="str">
        <f>IF(Variables!$B$25,_xlfn.IFERROR(1+0*SEARCH(Variables!$B$26,$A245),0),"")</f>
        <v/>
      </c>
    </row>
    <row r="246" spans="1:11" ht="15">
      <c r="A246" t="s">
        <v>678</v>
      </c>
      <c r="B246" t="s">
        <v>94</v>
      </c>
      <c r="K246" s="56" t="str">
        <f>IF(Variables!$B$25,_xlfn.IFERROR(1+0*SEARCH(Variables!$B$26,$A246),0),"")</f>
        <v/>
      </c>
    </row>
    <row r="247" spans="1:11" ht="15">
      <c r="A247" t="s">
        <v>160</v>
      </c>
      <c r="B247" t="s">
        <v>109</v>
      </c>
      <c r="K247" s="56" t="str">
        <f>IF(Variables!$B$25,_xlfn.IFERROR(1+0*SEARCH(Variables!$B$26,$A247),0),"")</f>
        <v/>
      </c>
    </row>
    <row r="248" spans="1:11" ht="15">
      <c r="A248" t="s">
        <v>161</v>
      </c>
      <c r="B248" t="s">
        <v>109</v>
      </c>
      <c r="K248" s="56" t="str">
        <f>IF(Variables!$B$25,_xlfn.IFERROR(1+0*SEARCH(Variables!$B$26,$A248),0),"")</f>
        <v/>
      </c>
    </row>
    <row r="249" spans="1:12" ht="15">
      <c r="A249" t="s">
        <v>162</v>
      </c>
      <c r="B249" t="s">
        <v>109</v>
      </c>
      <c r="K249" s="56" t="str">
        <f>IF(Variables!$B$25,_xlfn.IFERROR(1+0*SEARCH(Variables!$B$26,$A249),0),"")</f>
        <v/>
      </c>
      <c r="L249" t="s">
        <v>484</v>
      </c>
    </row>
    <row r="250" spans="1:11" ht="15">
      <c r="A250" t="s">
        <v>163</v>
      </c>
      <c r="B250" t="s">
        <v>109</v>
      </c>
      <c r="K250" s="56" t="str">
        <f>IF(Variables!$B$25,_xlfn.IFERROR(1+0*SEARCH(Variables!$B$26,$A250),0),"")</f>
        <v/>
      </c>
    </row>
    <row r="251" spans="1:12" ht="15">
      <c r="A251" t="s">
        <v>679</v>
      </c>
      <c r="B251" t="s">
        <v>164</v>
      </c>
      <c r="K251" s="56" t="str">
        <f>IF(Variables!$B$25,_xlfn.IFERROR(1+0*SEARCH(Variables!$B$26,$A251),0),"")</f>
        <v/>
      </c>
      <c r="L251" t="s">
        <v>485</v>
      </c>
    </row>
    <row r="252" spans="1:11" ht="15">
      <c r="A252" t="s">
        <v>680</v>
      </c>
      <c r="B252" t="s">
        <v>164</v>
      </c>
      <c r="K252" s="56" t="str">
        <f>IF(Variables!$B$25,_xlfn.IFERROR(1+0*SEARCH(Variables!$B$26,$A252),0),"")</f>
        <v/>
      </c>
    </row>
    <row r="253" spans="1:11" ht="15">
      <c r="A253" t="s">
        <v>165</v>
      </c>
      <c r="B253" t="s">
        <v>101</v>
      </c>
      <c r="K253" s="56" t="str">
        <f>IF(Variables!$B$25,_xlfn.IFERROR(1+0*SEARCH(Variables!$B$26,$A253),0),"")</f>
        <v/>
      </c>
    </row>
    <row r="254" spans="1:11" ht="15">
      <c r="A254" t="s">
        <v>166</v>
      </c>
      <c r="B254" t="s">
        <v>109</v>
      </c>
      <c r="K254" s="56" t="str">
        <f>IF(Variables!$B$25,_xlfn.IFERROR(1+0*SEARCH(Variables!$B$26,$A254),0),"")</f>
        <v/>
      </c>
    </row>
    <row r="255" spans="1:12" ht="15">
      <c r="A255" t="s">
        <v>167</v>
      </c>
      <c r="B255" t="s">
        <v>109</v>
      </c>
      <c r="K255" s="56" t="str">
        <f>IF(Variables!$B$25,_xlfn.IFERROR(1+0*SEARCH(Variables!$B$26,$A255),0),"")</f>
        <v/>
      </c>
      <c r="L255" t="s">
        <v>486</v>
      </c>
    </row>
    <row r="256" spans="1:11" ht="15">
      <c r="A256" t="s">
        <v>168</v>
      </c>
      <c r="B256" t="s">
        <v>109</v>
      </c>
      <c r="K256" s="56" t="str">
        <f>IF(Variables!$B$25,_xlfn.IFERROR(1+0*SEARCH(Variables!$B$26,$A256),0),"")</f>
        <v/>
      </c>
    </row>
    <row r="257" spans="1:11" ht="15">
      <c r="A257" t="s">
        <v>169</v>
      </c>
      <c r="B257" t="s">
        <v>109</v>
      </c>
      <c r="K257" s="56" t="str">
        <f>IF(Variables!$B$25,_xlfn.IFERROR(1+0*SEARCH(Variables!$B$26,$A257),0),"")</f>
        <v/>
      </c>
    </row>
    <row r="258" spans="1:11" ht="15">
      <c r="A258" t="s">
        <v>681</v>
      </c>
      <c r="B258" t="s">
        <v>94</v>
      </c>
      <c r="K258" s="56" t="str">
        <f>IF(Variables!$B$25,_xlfn.IFERROR(1+0*SEARCH(Variables!$B$26,$A258),0),"")</f>
        <v/>
      </c>
    </row>
    <row r="259" spans="1:11" ht="15">
      <c r="A259" t="s">
        <v>682</v>
      </c>
      <c r="B259" t="s">
        <v>94</v>
      </c>
      <c r="K259" s="56" t="str">
        <f>IF(Variables!$B$25,_xlfn.IFERROR(1+0*SEARCH(Variables!$B$26,$A259),0),"")</f>
        <v/>
      </c>
    </row>
    <row r="260" spans="1:11" ht="15">
      <c r="A260" t="s">
        <v>170</v>
      </c>
      <c r="B260" t="s">
        <v>94</v>
      </c>
      <c r="K260" s="56" t="str">
        <f>IF(Variables!$B$25,_xlfn.IFERROR(1+0*SEARCH(Variables!$B$26,$A260),0),"")</f>
        <v/>
      </c>
    </row>
    <row r="261" spans="1:11" ht="15">
      <c r="A261" t="s">
        <v>171</v>
      </c>
      <c r="B261" t="s">
        <v>106</v>
      </c>
      <c r="K261" s="56" t="str">
        <f>IF(Variables!$B$25,_xlfn.IFERROR(1+0*SEARCH(Variables!$B$26,$A261),0),"")</f>
        <v/>
      </c>
    </row>
    <row r="262" spans="1:11" ht="15">
      <c r="A262" t="s">
        <v>172</v>
      </c>
      <c r="B262" t="s">
        <v>106</v>
      </c>
      <c r="K262" s="56" t="str">
        <f>IF(Variables!$B$25,_xlfn.IFERROR(1+0*SEARCH(Variables!$B$26,$A262),0),"")</f>
        <v/>
      </c>
    </row>
    <row r="263" spans="1:12" ht="15">
      <c r="A263" t="s">
        <v>173</v>
      </c>
      <c r="B263" t="s">
        <v>109</v>
      </c>
      <c r="K263" s="56" t="str">
        <f>IF(Variables!$B$25,_xlfn.IFERROR(1+0*SEARCH(Variables!$B$26,$A263),0),"")</f>
        <v/>
      </c>
      <c r="L263" t="s">
        <v>487</v>
      </c>
    </row>
    <row r="264" spans="1:11" ht="15">
      <c r="A264" t="s">
        <v>174</v>
      </c>
      <c r="B264" t="s">
        <v>164</v>
      </c>
      <c r="K264" s="56" t="str">
        <f>IF(Variables!$B$25,_xlfn.IFERROR(1+0*SEARCH(Variables!$B$26,$A264),0),"")</f>
        <v/>
      </c>
    </row>
    <row r="265" spans="1:11" ht="15">
      <c r="A265" t="s">
        <v>175</v>
      </c>
      <c r="B265" t="s">
        <v>94</v>
      </c>
      <c r="K265" s="56" t="str">
        <f>IF(Variables!$B$25,_xlfn.IFERROR(1+0*SEARCH(Variables!$B$26,$A265),0),"")</f>
        <v/>
      </c>
    </row>
    <row r="266" spans="1:11" ht="15">
      <c r="A266" t="s">
        <v>176</v>
      </c>
      <c r="B266" t="s">
        <v>94</v>
      </c>
      <c r="K266" s="56" t="str">
        <f>IF(Variables!$B$25,_xlfn.IFERROR(1+0*SEARCH(Variables!$B$26,$A266),0),"")</f>
        <v/>
      </c>
    </row>
    <row r="267" spans="1:11" ht="15">
      <c r="A267" t="s">
        <v>177</v>
      </c>
      <c r="B267" t="s">
        <v>106</v>
      </c>
      <c r="K267" s="56" t="str">
        <f>IF(Variables!$B$25,_xlfn.IFERROR(1+0*SEARCH(Variables!$B$26,$A267),0),"")</f>
        <v/>
      </c>
    </row>
    <row r="268" spans="1:11" ht="15">
      <c r="A268" t="s">
        <v>178</v>
      </c>
      <c r="B268" t="s">
        <v>106</v>
      </c>
      <c r="K268" s="56" t="str">
        <f>IF(Variables!$B$25,_xlfn.IFERROR(1+0*SEARCH(Variables!$B$26,$A268),0),"")</f>
        <v/>
      </c>
    </row>
    <row r="269" spans="1:11" ht="15">
      <c r="A269" t="s">
        <v>179</v>
      </c>
      <c r="B269" t="s">
        <v>109</v>
      </c>
      <c r="K269" s="56" t="str">
        <f>IF(Variables!$B$25,_xlfn.IFERROR(1+0*SEARCH(Variables!$B$26,$A269),0),"")</f>
        <v/>
      </c>
    </row>
    <row r="270" spans="1:12" ht="15">
      <c r="A270" t="s">
        <v>180</v>
      </c>
      <c r="B270" t="s">
        <v>164</v>
      </c>
      <c r="K270" s="56" t="str">
        <f>IF(Variables!$B$25,_xlfn.IFERROR(1+0*SEARCH(Variables!$B$26,$A270),0),"")</f>
        <v/>
      </c>
      <c r="L270" t="s">
        <v>488</v>
      </c>
    </row>
    <row r="271" spans="1:11" ht="15">
      <c r="A271" t="s">
        <v>181</v>
      </c>
      <c r="B271" t="s">
        <v>164</v>
      </c>
      <c r="K271" s="56" t="str">
        <f>IF(Variables!$B$25,_xlfn.IFERROR(1+0*SEARCH(Variables!$B$26,$A271),0),"")</f>
        <v/>
      </c>
    </row>
    <row r="272" spans="1:11" ht="15">
      <c r="A272" t="s">
        <v>182</v>
      </c>
      <c r="B272" t="s">
        <v>109</v>
      </c>
      <c r="K272" s="56" t="str">
        <f>IF(Variables!$B$25,_xlfn.IFERROR(1+0*SEARCH(Variables!$B$26,$A272),0),"")</f>
        <v/>
      </c>
    </row>
    <row r="273" spans="1:12" ht="15">
      <c r="A273" t="s">
        <v>183</v>
      </c>
      <c r="B273" t="s">
        <v>109</v>
      </c>
      <c r="K273" s="56" t="str">
        <f>IF(Variables!$B$25,_xlfn.IFERROR(1+0*SEARCH(Variables!$B$26,$A273),0),"")</f>
        <v/>
      </c>
      <c r="L273" t="s">
        <v>489</v>
      </c>
    </row>
    <row r="274" spans="1:11" ht="15">
      <c r="A274" t="s">
        <v>184</v>
      </c>
      <c r="B274" t="s">
        <v>109</v>
      </c>
      <c r="K274" s="56" t="str">
        <f>IF(Variables!$B$25,_xlfn.IFERROR(1+0*SEARCH(Variables!$B$26,$A274),0),"")</f>
        <v/>
      </c>
    </row>
    <row r="275" spans="1:11" ht="15">
      <c r="A275" t="s">
        <v>185</v>
      </c>
      <c r="B275" t="s">
        <v>109</v>
      </c>
      <c r="K275" s="56" t="str">
        <f>IF(Variables!$B$25,_xlfn.IFERROR(1+0*SEARCH(Variables!$B$26,$A275),0),"")</f>
        <v/>
      </c>
    </row>
    <row r="276" spans="1:11" ht="15">
      <c r="A276" t="s">
        <v>186</v>
      </c>
      <c r="B276" t="s">
        <v>109</v>
      </c>
      <c r="K276" s="56" t="str">
        <f>IF(Variables!$B$25,_xlfn.IFERROR(1+0*SEARCH(Variables!$B$26,$A276),0),"")</f>
        <v/>
      </c>
    </row>
    <row r="277" spans="1:11" ht="15">
      <c r="A277" t="s">
        <v>187</v>
      </c>
      <c r="B277" t="s">
        <v>109</v>
      </c>
      <c r="K277" s="56" t="str">
        <f>IF(Variables!$B$25,_xlfn.IFERROR(1+0*SEARCH(Variables!$B$26,$A277),0),"")</f>
        <v/>
      </c>
    </row>
    <row r="278" spans="1:11" ht="15">
      <c r="A278" t="s">
        <v>683</v>
      </c>
      <c r="B278" t="s">
        <v>94</v>
      </c>
      <c r="K278" s="56" t="str">
        <f>IF(Variables!$B$25,_xlfn.IFERROR(1+0*SEARCH(Variables!$B$26,$A278),0),"")</f>
        <v/>
      </c>
    </row>
    <row r="279" spans="1:11" ht="15">
      <c r="A279" t="s">
        <v>684</v>
      </c>
      <c r="B279" t="s">
        <v>94</v>
      </c>
      <c r="K279" s="56" t="str">
        <f>IF(Variables!$B$25,_xlfn.IFERROR(1+0*SEARCH(Variables!$B$26,$A279),0),"")</f>
        <v/>
      </c>
    </row>
    <row r="280" spans="1:11" ht="15">
      <c r="A280" t="s">
        <v>188</v>
      </c>
      <c r="B280" t="s">
        <v>106</v>
      </c>
      <c r="K280" s="56" t="str">
        <f>IF(Variables!$B$25,_xlfn.IFERROR(1+0*SEARCH(Variables!$B$26,$A280),0),"")</f>
        <v/>
      </c>
    </row>
    <row r="281" spans="1:11" ht="15">
      <c r="A281" t="s">
        <v>189</v>
      </c>
      <c r="B281" t="s">
        <v>106</v>
      </c>
      <c r="K281" s="56" t="str">
        <f>IF(Variables!$B$25,_xlfn.IFERROR(1+0*SEARCH(Variables!$B$26,$A281),0),"")</f>
        <v/>
      </c>
    </row>
    <row r="282" spans="1:11" ht="15">
      <c r="A282" t="s">
        <v>190</v>
      </c>
      <c r="B282" t="s">
        <v>109</v>
      </c>
      <c r="K282" s="56" t="str">
        <f>IF(Variables!$B$25,_xlfn.IFERROR(1+0*SEARCH(Variables!$B$26,$A282),0),"")</f>
        <v/>
      </c>
    </row>
    <row r="283" spans="1:12" ht="15">
      <c r="A283" t="s">
        <v>191</v>
      </c>
      <c r="B283" t="s">
        <v>109</v>
      </c>
      <c r="K283" s="56" t="str">
        <f>IF(Variables!$B$25,_xlfn.IFERROR(1+0*SEARCH(Variables!$B$26,$A283),0),"")</f>
        <v/>
      </c>
      <c r="L283" t="s">
        <v>490</v>
      </c>
    </row>
    <row r="284" spans="1:11" ht="15">
      <c r="A284" t="s">
        <v>192</v>
      </c>
      <c r="B284" t="s">
        <v>106</v>
      </c>
      <c r="K284" s="56" t="str">
        <f>IF(Variables!$B$25,_xlfn.IFERROR(1+0*SEARCH(Variables!$B$26,$A284),0),"")</f>
        <v/>
      </c>
    </row>
    <row r="285" spans="1:11" ht="15">
      <c r="A285" t="s">
        <v>193</v>
      </c>
      <c r="B285" t="s">
        <v>109</v>
      </c>
      <c r="K285" s="56" t="str">
        <f>IF(Variables!$B$25,_xlfn.IFERROR(1+0*SEARCH(Variables!$B$26,$A285),0),"")</f>
        <v/>
      </c>
    </row>
    <row r="286" spans="1:12" ht="15">
      <c r="A286" t="s">
        <v>194</v>
      </c>
      <c r="B286" t="s">
        <v>109</v>
      </c>
      <c r="K286" s="56" t="str">
        <f>IF(Variables!$B$25,_xlfn.IFERROR(1+0*SEARCH(Variables!$B$26,$A286),0),"")</f>
        <v/>
      </c>
      <c r="L286" t="s">
        <v>491</v>
      </c>
    </row>
    <row r="287" spans="1:11" ht="15">
      <c r="A287" t="s">
        <v>195</v>
      </c>
      <c r="B287" t="s">
        <v>109</v>
      </c>
      <c r="K287" s="56" t="str">
        <f>IF(Variables!$B$25,_xlfn.IFERROR(1+0*SEARCH(Variables!$B$26,$A287),0),"")</f>
        <v/>
      </c>
    </row>
    <row r="288" spans="1:11" ht="15">
      <c r="A288" t="s">
        <v>196</v>
      </c>
      <c r="B288" t="s">
        <v>106</v>
      </c>
      <c r="K288" s="56" t="str">
        <f>IF(Variables!$B$25,_xlfn.IFERROR(1+0*SEARCH(Variables!$B$26,$A288),0),"")</f>
        <v/>
      </c>
    </row>
    <row r="289" spans="1:11" ht="15">
      <c r="A289" t="s">
        <v>197</v>
      </c>
      <c r="B289" t="s">
        <v>94</v>
      </c>
      <c r="K289" s="56" t="str">
        <f>IF(Variables!$B$25,_xlfn.IFERROR(1+0*SEARCH(Variables!$B$26,$A289),0),"")</f>
        <v/>
      </c>
    </row>
    <row r="290" spans="1:11" ht="15">
      <c r="A290" t="s">
        <v>685</v>
      </c>
      <c r="B290" t="s">
        <v>94</v>
      </c>
      <c r="K290" s="56" t="str">
        <f>IF(Variables!$B$25,_xlfn.IFERROR(1+0*SEARCH(Variables!$B$26,$A290),0),"")</f>
        <v/>
      </c>
    </row>
    <row r="291" spans="1:11" ht="15">
      <c r="A291" t="s">
        <v>686</v>
      </c>
      <c r="B291" t="s">
        <v>94</v>
      </c>
      <c r="K291" s="56" t="str">
        <f>IF(Variables!$B$25,_xlfn.IFERROR(1+0*SEARCH(Variables!$B$26,$A291),0),"")</f>
        <v/>
      </c>
    </row>
    <row r="292" spans="1:11" ht="15">
      <c r="A292" t="s">
        <v>198</v>
      </c>
      <c r="B292" t="s">
        <v>106</v>
      </c>
      <c r="K292" s="56" t="str">
        <f>IF(Variables!$B$25,_xlfn.IFERROR(1+0*SEARCH(Variables!$B$26,$A292),0),"")</f>
        <v/>
      </c>
    </row>
    <row r="293" spans="1:11" ht="15">
      <c r="A293" t="s">
        <v>199</v>
      </c>
      <c r="B293" t="s">
        <v>106</v>
      </c>
      <c r="K293" s="56" t="str">
        <f>IF(Variables!$B$25,_xlfn.IFERROR(1+0*SEARCH(Variables!$B$26,$A293),0),"")</f>
        <v/>
      </c>
    </row>
    <row r="294" spans="1:11" ht="15">
      <c r="A294" t="s">
        <v>17</v>
      </c>
      <c r="B294" t="s">
        <v>106</v>
      </c>
      <c r="K294" s="56" t="str">
        <f>IF(Variables!$B$25,_xlfn.IFERROR(1+0*SEARCH(Variables!$B$26,$A294),0),"")</f>
        <v/>
      </c>
    </row>
    <row r="295" spans="1:11" ht="15">
      <c r="A295" t="s">
        <v>200</v>
      </c>
      <c r="B295" t="s">
        <v>106</v>
      </c>
      <c r="K295" s="56" t="str">
        <f>IF(Variables!$B$25,_xlfn.IFERROR(1+0*SEARCH(Variables!$B$26,$A295),0),"")</f>
        <v/>
      </c>
    </row>
    <row r="296" spans="1:11" ht="15">
      <c r="A296" t="s">
        <v>201</v>
      </c>
      <c r="B296" t="s">
        <v>106</v>
      </c>
      <c r="K296" s="56" t="str">
        <f>IF(Variables!$B$25,_xlfn.IFERROR(1+0*SEARCH(Variables!$B$26,$A296),0),"")</f>
        <v/>
      </c>
    </row>
    <row r="297" spans="1:12" ht="15">
      <c r="A297" t="s">
        <v>687</v>
      </c>
      <c r="B297" t="s">
        <v>109</v>
      </c>
      <c r="K297" s="56" t="str">
        <f>IF(Variables!$B$25,_xlfn.IFERROR(1+0*SEARCH(Variables!$B$26,$A297),0),"")</f>
        <v/>
      </c>
      <c r="L297" t="s">
        <v>492</v>
      </c>
    </row>
    <row r="298" spans="1:12" ht="15">
      <c r="A298" t="s">
        <v>202</v>
      </c>
      <c r="B298" t="s">
        <v>109</v>
      </c>
      <c r="K298" s="56" t="str">
        <f>IF(Variables!$B$25,_xlfn.IFERROR(1+0*SEARCH(Variables!$B$26,$A298),0),"")</f>
        <v/>
      </c>
      <c r="L298" t="s">
        <v>493</v>
      </c>
    </row>
    <row r="299" spans="1:11" ht="15">
      <c r="A299" t="s">
        <v>203</v>
      </c>
      <c r="B299" t="s">
        <v>94</v>
      </c>
      <c r="K299" s="56" t="str">
        <f>IF(Variables!$B$25,_xlfn.IFERROR(1+0*SEARCH(Variables!$B$26,$A299),0),"")</f>
        <v/>
      </c>
    </row>
    <row r="300" spans="1:11" ht="15">
      <c r="A300" t="s">
        <v>204</v>
      </c>
      <c r="B300" t="s">
        <v>94</v>
      </c>
      <c r="K300" s="56" t="str">
        <f>IF(Variables!$B$25,_xlfn.IFERROR(1+0*SEARCH(Variables!$B$26,$A300),0),"")</f>
        <v/>
      </c>
    </row>
    <row r="301" spans="1:11" ht="15">
      <c r="A301" t="s">
        <v>688</v>
      </c>
      <c r="B301" t="s">
        <v>94</v>
      </c>
      <c r="K301" s="56" t="str">
        <f>IF(Variables!$B$25,_xlfn.IFERROR(1+0*SEARCH(Variables!$B$26,$A301),0),"")</f>
        <v/>
      </c>
    </row>
    <row r="302" spans="1:11" ht="15">
      <c r="A302" t="s">
        <v>689</v>
      </c>
      <c r="B302" t="s">
        <v>94</v>
      </c>
      <c r="K302" s="56" t="str">
        <f>IF(Variables!$B$25,_xlfn.IFERROR(1+0*SEARCH(Variables!$B$26,$A302),0),"")</f>
        <v/>
      </c>
    </row>
    <row r="303" spans="1:11" ht="15">
      <c r="A303" t="s">
        <v>690</v>
      </c>
      <c r="B303" t="s">
        <v>94</v>
      </c>
      <c r="K303" s="56" t="str">
        <f>IF(Variables!$B$25,_xlfn.IFERROR(1+0*SEARCH(Variables!$B$26,$A303),0),"")</f>
        <v/>
      </c>
    </row>
    <row r="304" spans="1:11" ht="15">
      <c r="A304" t="s">
        <v>205</v>
      </c>
      <c r="B304" t="s">
        <v>106</v>
      </c>
      <c r="K304" s="56" t="str">
        <f>IF(Variables!$B$25,_xlfn.IFERROR(1+0*SEARCH(Variables!$B$26,$A304),0),"")</f>
        <v/>
      </c>
    </row>
    <row r="305" spans="1:11" ht="15">
      <c r="A305" t="s">
        <v>206</v>
      </c>
      <c r="B305" t="s">
        <v>106</v>
      </c>
      <c r="K305" s="56" t="str">
        <f>IF(Variables!$B$25,_xlfn.IFERROR(1+0*SEARCH(Variables!$B$26,$A305),0),"")</f>
        <v/>
      </c>
    </row>
    <row r="306" spans="1:12" ht="15">
      <c r="A306" t="s">
        <v>691</v>
      </c>
      <c r="B306" t="s">
        <v>109</v>
      </c>
      <c r="K306" s="56" t="str">
        <f>IF(Variables!$B$25,_xlfn.IFERROR(1+0*SEARCH(Variables!$B$26,$A306),0),"")</f>
        <v/>
      </c>
      <c r="L306" t="s">
        <v>494</v>
      </c>
    </row>
    <row r="307" spans="1:11" ht="15">
      <c r="A307" t="s">
        <v>207</v>
      </c>
      <c r="B307" t="s">
        <v>94</v>
      </c>
      <c r="K307" s="56" t="str">
        <f>IF(Variables!$B$25,_xlfn.IFERROR(1+0*SEARCH(Variables!$B$26,$A307),0),"")</f>
        <v/>
      </c>
    </row>
    <row r="308" spans="1:11" ht="15">
      <c r="A308" t="s">
        <v>208</v>
      </c>
      <c r="B308" t="s">
        <v>94</v>
      </c>
      <c r="K308" s="56" t="str">
        <f>IF(Variables!$B$25,_xlfn.IFERROR(1+0*SEARCH(Variables!$B$26,$A308),0),"")</f>
        <v/>
      </c>
    </row>
    <row r="309" spans="1:11" ht="15">
      <c r="A309" t="s">
        <v>692</v>
      </c>
      <c r="B309" t="s">
        <v>94</v>
      </c>
      <c r="K309" s="56" t="str">
        <f>IF(Variables!$B$25,_xlfn.IFERROR(1+0*SEARCH(Variables!$B$26,$A309),0),"")</f>
        <v/>
      </c>
    </row>
    <row r="310" spans="1:11" ht="15">
      <c r="A310" t="s">
        <v>693</v>
      </c>
      <c r="B310" t="s">
        <v>94</v>
      </c>
      <c r="K310" s="56" t="str">
        <f>IF(Variables!$B$25,_xlfn.IFERROR(1+0*SEARCH(Variables!$B$26,$A310),0),"")</f>
        <v/>
      </c>
    </row>
    <row r="311" spans="1:11" ht="15">
      <c r="A311" t="s">
        <v>694</v>
      </c>
      <c r="B311" t="s">
        <v>94</v>
      </c>
      <c r="K311" s="56" t="str">
        <f>IF(Variables!$B$25,_xlfn.IFERROR(1+0*SEARCH(Variables!$B$26,$A311),0),"")</f>
        <v/>
      </c>
    </row>
    <row r="312" spans="1:11" ht="15">
      <c r="A312" t="s">
        <v>695</v>
      </c>
      <c r="B312" t="s">
        <v>94</v>
      </c>
      <c r="K312" s="56" t="str">
        <f>IF(Variables!$B$25,_xlfn.IFERROR(1+0*SEARCH(Variables!$B$26,$A312),0),"")</f>
        <v/>
      </c>
    </row>
    <row r="313" spans="1:11" ht="15">
      <c r="A313" t="s">
        <v>209</v>
      </c>
      <c r="B313" t="s">
        <v>94</v>
      </c>
      <c r="K313" s="56" t="str">
        <f>IF(Variables!$B$25,_xlfn.IFERROR(1+0*SEARCH(Variables!$B$26,$A313),0),"")</f>
        <v/>
      </c>
    </row>
    <row r="314" spans="1:11" ht="15">
      <c r="A314" t="s">
        <v>210</v>
      </c>
      <c r="B314" t="s">
        <v>94</v>
      </c>
      <c r="K314" s="56" t="str">
        <f>IF(Variables!$B$25,_xlfn.IFERROR(1+0*SEARCH(Variables!$B$26,$A314),0),"")</f>
        <v/>
      </c>
    </row>
    <row r="315" spans="1:11" ht="15">
      <c r="A315" t="s">
        <v>211</v>
      </c>
      <c r="B315" t="s">
        <v>106</v>
      </c>
      <c r="K315" s="56" t="str">
        <f>IF(Variables!$B$25,_xlfn.IFERROR(1+0*SEARCH(Variables!$B$26,$A315),0),"")</f>
        <v/>
      </c>
    </row>
    <row r="316" spans="1:11" ht="15">
      <c r="A316" t="s">
        <v>212</v>
      </c>
      <c r="B316" t="s">
        <v>106</v>
      </c>
      <c r="K316" s="56" t="str">
        <f>IF(Variables!$B$25,_xlfn.IFERROR(1+0*SEARCH(Variables!$B$26,$A316),0),"")</f>
        <v/>
      </c>
    </row>
    <row r="317" spans="1:11" ht="15">
      <c r="A317" t="s">
        <v>696</v>
      </c>
      <c r="B317" t="s">
        <v>109</v>
      </c>
      <c r="K317" s="56" t="str">
        <f>IF(Variables!$B$25,_xlfn.IFERROR(1+0*SEARCH(Variables!$B$26,$A317),0),"")</f>
        <v/>
      </c>
    </row>
    <row r="318" spans="1:12" ht="15">
      <c r="A318" t="s">
        <v>697</v>
      </c>
      <c r="B318" t="s">
        <v>109</v>
      </c>
      <c r="K318" s="56" t="str">
        <f>IF(Variables!$B$25,_xlfn.IFERROR(1+0*SEARCH(Variables!$B$26,$A318),0),"")</f>
        <v/>
      </c>
      <c r="L318" t="s">
        <v>495</v>
      </c>
    </row>
    <row r="319" spans="1:11" ht="15">
      <c r="A319" t="s">
        <v>213</v>
      </c>
      <c r="B319" t="s">
        <v>109</v>
      </c>
      <c r="K319" s="56" t="str">
        <f>IF(Variables!$B$25,_xlfn.IFERROR(1+0*SEARCH(Variables!$B$26,$A319),0),"")</f>
        <v/>
      </c>
    </row>
    <row r="320" spans="1:11" ht="15">
      <c r="A320" t="s">
        <v>214</v>
      </c>
      <c r="B320" t="s">
        <v>106</v>
      </c>
      <c r="K320" s="56" t="str">
        <f>IF(Variables!$B$25,_xlfn.IFERROR(1+0*SEARCH(Variables!$B$26,$A320),0),"")</f>
        <v/>
      </c>
    </row>
    <row r="321" spans="1:11" ht="15">
      <c r="A321" t="s">
        <v>215</v>
      </c>
      <c r="B321" t="s">
        <v>106</v>
      </c>
      <c r="K321" s="56" t="str">
        <f>IF(Variables!$B$25,_xlfn.IFERROR(1+0*SEARCH(Variables!$B$26,$A321),0),"")</f>
        <v/>
      </c>
    </row>
    <row r="322" spans="1:11" ht="15">
      <c r="A322" t="s">
        <v>216</v>
      </c>
      <c r="B322" t="s">
        <v>106</v>
      </c>
      <c r="K322" s="56" t="str">
        <f>IF(Variables!$B$25,_xlfn.IFERROR(1+0*SEARCH(Variables!$B$26,$A322),0),"")</f>
        <v/>
      </c>
    </row>
    <row r="323" spans="1:11" ht="15">
      <c r="A323" t="s">
        <v>217</v>
      </c>
      <c r="B323" t="s">
        <v>106</v>
      </c>
      <c r="K323" s="56" t="str">
        <f>IF(Variables!$B$25,_xlfn.IFERROR(1+0*SEARCH(Variables!$B$26,$A323),0),"")</f>
        <v/>
      </c>
    </row>
    <row r="324" spans="1:11" ht="15">
      <c r="A324" t="s">
        <v>218</v>
      </c>
      <c r="B324" t="s">
        <v>106</v>
      </c>
      <c r="K324" s="56" t="str">
        <f>IF(Variables!$B$25,_xlfn.IFERROR(1+0*SEARCH(Variables!$B$26,$A324),0),"")</f>
        <v/>
      </c>
    </row>
    <row r="325" spans="1:11" ht="15">
      <c r="A325" t="s">
        <v>219</v>
      </c>
      <c r="B325" t="s">
        <v>106</v>
      </c>
      <c r="K325" s="56" t="str">
        <f>IF(Variables!$B$25,_xlfn.IFERROR(1+0*SEARCH(Variables!$B$26,$A325),0),"")</f>
        <v/>
      </c>
    </row>
    <row r="326" spans="1:11" ht="15">
      <c r="A326" t="s">
        <v>220</v>
      </c>
      <c r="B326" t="s">
        <v>106</v>
      </c>
      <c r="K326" s="56" t="str">
        <f>IF(Variables!$B$25,_xlfn.IFERROR(1+0*SEARCH(Variables!$B$26,$A326),0),"")</f>
        <v/>
      </c>
    </row>
    <row r="327" spans="1:11" ht="15">
      <c r="A327" t="s">
        <v>221</v>
      </c>
      <c r="B327" t="s">
        <v>106</v>
      </c>
      <c r="K327" s="56" t="str">
        <f>IF(Variables!$B$25,_xlfn.IFERROR(1+0*SEARCH(Variables!$B$26,$A327),0),"")</f>
        <v/>
      </c>
    </row>
  </sheetData>
  <sheetProtection sort="0" autoFilter="0"/>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Reynolds</dc:creator>
  <cp:keywords/>
  <dc:description/>
  <cp:lastModifiedBy>David Reynolds</cp:lastModifiedBy>
  <cp:lastPrinted>2019-01-23T20:14:30Z</cp:lastPrinted>
  <dcterms:created xsi:type="dcterms:W3CDTF">2018-03-09T20:05:05Z</dcterms:created>
  <dcterms:modified xsi:type="dcterms:W3CDTF">2019-05-17T16:41:13Z</dcterms:modified>
  <cp:category/>
  <cp:version/>
  <cp:contentType/>
  <cp:contentStatus/>
</cp:coreProperties>
</file>